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5195" windowHeight="11640"/>
  </bookViews>
  <sheets>
    <sheet name="2026 год 2 чт " sheetId="13" r:id="rId1"/>
    <sheet name="2024 год 2 чт  (2)" sheetId="14" state="hidden" r:id="rId2"/>
  </sheets>
  <calcPr calcId="125725"/>
</workbook>
</file>

<file path=xl/calcChain.xml><?xml version="1.0" encoding="utf-8"?>
<calcChain xmlns="http://schemas.openxmlformats.org/spreadsheetml/2006/main">
  <c r="AA25" i="13"/>
  <c r="AA20"/>
  <c r="AL25"/>
  <c r="K26"/>
  <c r="K24"/>
  <c r="P22"/>
  <c r="P23"/>
  <c r="P24"/>
  <c r="AL21"/>
  <c r="Y19"/>
  <c r="C26"/>
  <c r="C19"/>
  <c r="H25"/>
  <c r="H23"/>
  <c r="I23"/>
  <c r="AE23"/>
  <c r="H19"/>
  <c r="I19"/>
  <c r="V27"/>
  <c r="H28" i="14"/>
  <c r="I28"/>
  <c r="J28"/>
  <c r="K28"/>
  <c r="C28"/>
  <c r="AQ27"/>
  <c r="AP27"/>
  <c r="AI27"/>
  <c r="AH27"/>
  <c r="AJ27"/>
  <c r="AK27"/>
  <c r="AD27"/>
  <c r="AC27"/>
  <c r="AE27"/>
  <c r="AF27"/>
  <c r="X27"/>
  <c r="W27"/>
  <c r="V27"/>
  <c r="R27"/>
  <c r="Q27"/>
  <c r="S27"/>
  <c r="T27"/>
  <c r="M27"/>
  <c r="L27"/>
  <c r="G27"/>
  <c r="F27"/>
  <c r="E27"/>
  <c r="D27"/>
  <c r="B27"/>
  <c r="AJ26"/>
  <c r="AE26"/>
  <c r="Y26"/>
  <c r="S26"/>
  <c r="N26"/>
  <c r="I26"/>
  <c r="H26"/>
  <c r="AJ25"/>
  <c r="AE25"/>
  <c r="Y25"/>
  <c r="S25"/>
  <c r="N25"/>
  <c r="I25"/>
  <c r="H25"/>
  <c r="C25"/>
  <c r="AJ24"/>
  <c r="AE24"/>
  <c r="Y24"/>
  <c r="S24"/>
  <c r="N24"/>
  <c r="H24"/>
  <c r="I24"/>
  <c r="C24"/>
  <c r="AJ23"/>
  <c r="AE23"/>
  <c r="Y23"/>
  <c r="S23"/>
  <c r="N23"/>
  <c r="I23"/>
  <c r="H23"/>
  <c r="C23"/>
  <c r="AJ22"/>
  <c r="AE22"/>
  <c r="Y22"/>
  <c r="S22"/>
  <c r="N22"/>
  <c r="H22"/>
  <c r="I22"/>
  <c r="C22"/>
  <c r="AJ21"/>
  <c r="AE21"/>
  <c r="Y21"/>
  <c r="S21"/>
  <c r="N21"/>
  <c r="I21"/>
  <c r="H21"/>
  <c r="C21"/>
  <c r="AJ20"/>
  <c r="AE20"/>
  <c r="Y20"/>
  <c r="S20"/>
  <c r="N20"/>
  <c r="H20"/>
  <c r="H27"/>
  <c r="C20"/>
  <c r="AJ19"/>
  <c r="AE19"/>
  <c r="Y19"/>
  <c r="Y27"/>
  <c r="Z27"/>
  <c r="S19"/>
  <c r="N19"/>
  <c r="N27"/>
  <c r="O27"/>
  <c r="I19"/>
  <c r="H19"/>
  <c r="C19"/>
  <c r="C27"/>
  <c r="AI14"/>
  <c r="AH14"/>
  <c r="AJ14"/>
  <c r="AK14"/>
  <c r="AD14"/>
  <c r="AC14"/>
  <c r="AE14"/>
  <c r="AF14"/>
  <c r="X14"/>
  <c r="L14"/>
  <c r="G14"/>
  <c r="B14"/>
  <c r="AJ13"/>
  <c r="AE13"/>
  <c r="Y13"/>
  <c r="R13"/>
  <c r="Q13"/>
  <c r="S13"/>
  <c r="N13"/>
  <c r="M13"/>
  <c r="M14"/>
  <c r="H13"/>
  <c r="F13"/>
  <c r="E13"/>
  <c r="I13"/>
  <c r="AJ12"/>
  <c r="AE12"/>
  <c r="Y12"/>
  <c r="R12"/>
  <c r="R14"/>
  <c r="Q12"/>
  <c r="S12"/>
  <c r="N12"/>
  <c r="H12"/>
  <c r="F12"/>
  <c r="E12"/>
  <c r="I12"/>
  <c r="AJ11"/>
  <c r="AE11"/>
  <c r="Y11"/>
  <c r="Q11"/>
  <c r="S11"/>
  <c r="N11"/>
  <c r="F11"/>
  <c r="H11"/>
  <c r="E11"/>
  <c r="D11"/>
  <c r="I11"/>
  <c r="AJ10"/>
  <c r="AE10"/>
  <c r="W10"/>
  <c r="Y10"/>
  <c r="S10"/>
  <c r="Q10"/>
  <c r="N10"/>
  <c r="H10"/>
  <c r="D10"/>
  <c r="I10"/>
  <c r="AJ9"/>
  <c r="AE9"/>
  <c r="Y9"/>
  <c r="R9"/>
  <c r="Q9"/>
  <c r="S9"/>
  <c r="N9"/>
  <c r="I9"/>
  <c r="H9"/>
  <c r="AJ8"/>
  <c r="AE8"/>
  <c r="Y8"/>
  <c r="R8"/>
  <c r="Q8"/>
  <c r="S8"/>
  <c r="N8"/>
  <c r="F8"/>
  <c r="H8"/>
  <c r="E8"/>
  <c r="D8"/>
  <c r="I8"/>
  <c r="AJ7"/>
  <c r="AE7"/>
  <c r="W7"/>
  <c r="Y7"/>
  <c r="S7"/>
  <c r="Q7"/>
  <c r="N7"/>
  <c r="H7"/>
  <c r="D7"/>
  <c r="I7"/>
  <c r="AJ6"/>
  <c r="AE6"/>
  <c r="Y6"/>
  <c r="Y14"/>
  <c r="Z14"/>
  <c r="R6"/>
  <c r="Q6"/>
  <c r="Q14"/>
  <c r="S14"/>
  <c r="T14"/>
  <c r="N6"/>
  <c r="N14"/>
  <c r="O14"/>
  <c r="F6"/>
  <c r="F14"/>
  <c r="E6"/>
  <c r="E14"/>
  <c r="D6"/>
  <c r="D14"/>
  <c r="C20" i="13"/>
  <c r="C21"/>
  <c r="C22"/>
  <c r="C23"/>
  <c r="C24"/>
  <c r="C25"/>
  <c r="H28"/>
  <c r="I28"/>
  <c r="J28"/>
  <c r="K28"/>
  <c r="C28"/>
  <c r="AQ27"/>
  <c r="AP27"/>
  <c r="AI27"/>
  <c r="AH27"/>
  <c r="AD27"/>
  <c r="AC27"/>
  <c r="X27"/>
  <c r="W27"/>
  <c r="R27"/>
  <c r="Q27"/>
  <c r="M27"/>
  <c r="L27"/>
  <c r="G27"/>
  <c r="F27"/>
  <c r="E27"/>
  <c r="D27"/>
  <c r="B27"/>
  <c r="AJ26"/>
  <c r="AE26"/>
  <c r="Y26"/>
  <c r="S26"/>
  <c r="N26"/>
  <c r="H26"/>
  <c r="I26"/>
  <c r="AO26"/>
  <c r="AJ25"/>
  <c r="AE25"/>
  <c r="Y25"/>
  <c r="S25"/>
  <c r="N25"/>
  <c r="I25"/>
  <c r="AJ24"/>
  <c r="AE24"/>
  <c r="Y24"/>
  <c r="S24"/>
  <c r="N24"/>
  <c r="H24"/>
  <c r="I24"/>
  <c r="AJ23"/>
  <c r="Y23"/>
  <c r="S23"/>
  <c r="N23"/>
  <c r="AJ22"/>
  <c r="AE22"/>
  <c r="Y22"/>
  <c r="S22"/>
  <c r="N22"/>
  <c r="H22"/>
  <c r="I22"/>
  <c r="AJ21"/>
  <c r="AE21"/>
  <c r="Y21"/>
  <c r="S21"/>
  <c r="N21"/>
  <c r="H21"/>
  <c r="I21"/>
  <c r="AJ20"/>
  <c r="AE20"/>
  <c r="Y20"/>
  <c r="S20"/>
  <c r="N20"/>
  <c r="H20"/>
  <c r="I20"/>
  <c r="AJ19"/>
  <c r="AE19"/>
  <c r="S19"/>
  <c r="N19"/>
  <c r="AJ14"/>
  <c r="AK14"/>
  <c r="AI14"/>
  <c r="AH14"/>
  <c r="AE14"/>
  <c r="AF14"/>
  <c r="AD14"/>
  <c r="AC14"/>
  <c r="X14"/>
  <c r="W14"/>
  <c r="R14"/>
  <c r="Q14"/>
  <c r="S14"/>
  <c r="T14"/>
  <c r="N14"/>
  <c r="O14"/>
  <c r="M14"/>
  <c r="L14"/>
  <c r="G14"/>
  <c r="F14"/>
  <c r="E14"/>
  <c r="D14"/>
  <c r="B14"/>
  <c r="AJ13"/>
  <c r="AE13"/>
  <c r="Y13"/>
  <c r="S13"/>
  <c r="R13"/>
  <c r="Q13"/>
  <c r="N13"/>
  <c r="M13"/>
  <c r="H13"/>
  <c r="I13"/>
  <c r="F13"/>
  <c r="E13"/>
  <c r="AJ12"/>
  <c r="AE12"/>
  <c r="Y12"/>
  <c r="S12"/>
  <c r="R12"/>
  <c r="Q12"/>
  <c r="N12"/>
  <c r="H12"/>
  <c r="I12"/>
  <c r="F12"/>
  <c r="E12"/>
  <c r="AJ11"/>
  <c r="AE11"/>
  <c r="Y11"/>
  <c r="S11"/>
  <c r="Q11"/>
  <c r="N11"/>
  <c r="H11"/>
  <c r="I11"/>
  <c r="F11"/>
  <c r="E11"/>
  <c r="D11"/>
  <c r="AJ10"/>
  <c r="AE10"/>
  <c r="Y10"/>
  <c r="W10"/>
  <c r="S10"/>
  <c r="Q10"/>
  <c r="N10"/>
  <c r="I10"/>
  <c r="H10"/>
  <c r="D10"/>
  <c r="AJ9"/>
  <c r="AE9"/>
  <c r="Y9"/>
  <c r="S9"/>
  <c r="R9"/>
  <c r="Q9"/>
  <c r="N9"/>
  <c r="I9"/>
  <c r="H9"/>
  <c r="AJ8"/>
  <c r="AE8"/>
  <c r="Y8"/>
  <c r="S8"/>
  <c r="R8"/>
  <c r="Q8"/>
  <c r="N8"/>
  <c r="H8"/>
  <c r="I8"/>
  <c r="F8"/>
  <c r="E8"/>
  <c r="D8"/>
  <c r="AJ7"/>
  <c r="AE7"/>
  <c r="Y7"/>
  <c r="Y14"/>
  <c r="Z14"/>
  <c r="W7"/>
  <c r="S7"/>
  <c r="Q7"/>
  <c r="N7"/>
  <c r="I7"/>
  <c r="H7"/>
  <c r="D7"/>
  <c r="AJ6"/>
  <c r="AE6"/>
  <c r="Y6"/>
  <c r="S6"/>
  <c r="R6"/>
  <c r="Q6"/>
  <c r="N6"/>
  <c r="H6"/>
  <c r="H14"/>
  <c r="F6"/>
  <c r="E6"/>
  <c r="D6"/>
  <c r="AA12"/>
  <c r="AA11"/>
  <c r="AA10"/>
  <c r="AA7"/>
  <c r="AA13"/>
  <c r="AA9"/>
  <c r="AA8"/>
  <c r="AA6"/>
  <c r="AA14"/>
  <c r="U12"/>
  <c r="U11"/>
  <c r="U13"/>
  <c r="U10"/>
  <c r="U9"/>
  <c r="U8"/>
  <c r="U7"/>
  <c r="U6"/>
  <c r="U14"/>
  <c r="AG12"/>
  <c r="AG11"/>
  <c r="AG10"/>
  <c r="AG7"/>
  <c r="AG13"/>
  <c r="AG9"/>
  <c r="AG8"/>
  <c r="AG6"/>
  <c r="AG14"/>
  <c r="P12"/>
  <c r="P10"/>
  <c r="P7"/>
  <c r="P13"/>
  <c r="P11"/>
  <c r="P9"/>
  <c r="P8"/>
  <c r="P6"/>
  <c r="AL12"/>
  <c r="AL11"/>
  <c r="AL10"/>
  <c r="AL7"/>
  <c r="AL13"/>
  <c r="AL9"/>
  <c r="AL8"/>
  <c r="AL6"/>
  <c r="I6"/>
  <c r="I14"/>
  <c r="J14"/>
  <c r="AL14"/>
  <c r="P14"/>
  <c r="K13"/>
  <c r="AO13"/>
  <c r="K12"/>
  <c r="AO12"/>
  <c r="K10"/>
  <c r="AO10"/>
  <c r="K7"/>
  <c r="AO7"/>
  <c r="K11"/>
  <c r="AO11"/>
  <c r="K9"/>
  <c r="AO9"/>
  <c r="K8"/>
  <c r="AO8"/>
  <c r="K6"/>
  <c r="AO6"/>
  <c r="AO14"/>
  <c r="K14"/>
  <c r="AG12" i="14"/>
  <c r="AG10"/>
  <c r="AG11"/>
  <c r="AG13"/>
  <c r="AG9"/>
  <c r="AG8"/>
  <c r="AG6"/>
  <c r="AG14"/>
  <c r="AG7"/>
  <c r="U11"/>
  <c r="U13"/>
  <c r="U10"/>
  <c r="U9"/>
  <c r="U8"/>
  <c r="U7"/>
  <c r="U6"/>
  <c r="U14"/>
  <c r="U12"/>
  <c r="AL12"/>
  <c r="P22"/>
  <c r="P25"/>
  <c r="P21"/>
  <c r="P26"/>
  <c r="P24"/>
  <c r="P20"/>
  <c r="P23"/>
  <c r="P19"/>
  <c r="U26"/>
  <c r="U24"/>
  <c r="U20"/>
  <c r="U23"/>
  <c r="U19"/>
  <c r="U22"/>
  <c r="U25"/>
  <c r="AL25"/>
  <c r="U21"/>
  <c r="AA13"/>
  <c r="AA9"/>
  <c r="AA8"/>
  <c r="AA6"/>
  <c r="AA7"/>
  <c r="AA12"/>
  <c r="AA10"/>
  <c r="AA11"/>
  <c r="AA22"/>
  <c r="AA25"/>
  <c r="AA21"/>
  <c r="AA26"/>
  <c r="AA24"/>
  <c r="AA20"/>
  <c r="AA23"/>
  <c r="AA19"/>
  <c r="AG26"/>
  <c r="AG24"/>
  <c r="AG20"/>
  <c r="AG23"/>
  <c r="AG19"/>
  <c r="AG22"/>
  <c r="AG25"/>
  <c r="AG21"/>
  <c r="P13"/>
  <c r="P11"/>
  <c r="P9"/>
  <c r="P8"/>
  <c r="P6"/>
  <c r="P12"/>
  <c r="P10"/>
  <c r="P7"/>
  <c r="AL13"/>
  <c r="AL9"/>
  <c r="AL8"/>
  <c r="AL6"/>
  <c r="AL10"/>
  <c r="AL7"/>
  <c r="AL11"/>
  <c r="AL22"/>
  <c r="AL21"/>
  <c r="AL26"/>
  <c r="AL24"/>
  <c r="AL20"/>
  <c r="AL23"/>
  <c r="AL19"/>
  <c r="H6"/>
  <c r="H14"/>
  <c r="I20"/>
  <c r="I27"/>
  <c r="J27"/>
  <c r="S6"/>
  <c r="W14"/>
  <c r="K24"/>
  <c r="AO24"/>
  <c r="K20"/>
  <c r="AO20"/>
  <c r="K23"/>
  <c r="AO23"/>
  <c r="K19"/>
  <c r="K22"/>
  <c r="AO22"/>
  <c r="K25"/>
  <c r="AO25"/>
  <c r="K21"/>
  <c r="AO21"/>
  <c r="AL27"/>
  <c r="AL14"/>
  <c r="AA27"/>
  <c r="P27"/>
  <c r="P14"/>
  <c r="AG27"/>
  <c r="U27"/>
  <c r="AA14"/>
  <c r="AO26"/>
  <c r="I6"/>
  <c r="I14"/>
  <c r="J14"/>
  <c r="K13"/>
  <c r="AO13"/>
  <c r="K11"/>
  <c r="AO11"/>
  <c r="K9"/>
  <c r="AO9"/>
  <c r="K8"/>
  <c r="AO8"/>
  <c r="K6"/>
  <c r="K7"/>
  <c r="AO7"/>
  <c r="K12"/>
  <c r="AO12"/>
  <c r="K10"/>
  <c r="AO10"/>
  <c r="AO19"/>
  <c r="AO27"/>
  <c r="K27"/>
  <c r="AO6"/>
  <c r="AO14"/>
  <c r="K14"/>
  <c r="S27" i="13"/>
  <c r="T27"/>
  <c r="N27"/>
  <c r="O27"/>
  <c r="P19"/>
  <c r="C27"/>
  <c r="P26"/>
  <c r="P20"/>
  <c r="P25"/>
  <c r="P21"/>
  <c r="P27"/>
  <c r="U25"/>
  <c r="U23"/>
  <c r="U24"/>
  <c r="U22"/>
  <c r="U19"/>
  <c r="U21"/>
  <c r="U26"/>
  <c r="U20"/>
  <c r="AJ27"/>
  <c r="AK27"/>
  <c r="AL20"/>
  <c r="AE27"/>
  <c r="AF27"/>
  <c r="AG25"/>
  <c r="Y27"/>
  <c r="Z27"/>
  <c r="AA24"/>
  <c r="U27"/>
  <c r="AL22"/>
  <c r="AL19"/>
  <c r="AL23"/>
  <c r="AL24"/>
  <c r="AL26"/>
  <c r="AG21"/>
  <c r="AG22"/>
  <c r="AG19"/>
  <c r="AG20"/>
  <c r="AG26"/>
  <c r="AG23"/>
  <c r="AG24"/>
  <c r="AG27"/>
  <c r="AA22"/>
  <c r="AA26"/>
  <c r="AA19"/>
  <c r="AA23"/>
  <c r="AA21"/>
  <c r="AL27"/>
  <c r="AA27"/>
  <c r="H27"/>
  <c r="I27"/>
  <c r="J27"/>
  <c r="AO24"/>
  <c r="K22"/>
  <c r="AO22"/>
  <c r="K23"/>
  <c r="AO23"/>
  <c r="K20"/>
  <c r="AO20"/>
  <c r="AO27"/>
  <c r="K19"/>
  <c r="K21"/>
  <c r="AO21"/>
  <c r="K25"/>
  <c r="AO25"/>
  <c r="AO19"/>
  <c r="K27"/>
</calcChain>
</file>

<file path=xl/sharedStrings.xml><?xml version="1.0" encoding="utf-8"?>
<sst xmlns="http://schemas.openxmlformats.org/spreadsheetml/2006/main" count="226" uniqueCount="59">
  <si>
    <t>Наименование сельского поселения</t>
  </si>
  <si>
    <t>Воронецкое</t>
  </si>
  <si>
    <t>Жерновецкое</t>
  </si>
  <si>
    <t>Ломовецкое</t>
  </si>
  <si>
    <t xml:space="preserve">Муравльское </t>
  </si>
  <si>
    <t>М.Слободское</t>
  </si>
  <si>
    <t>Никольское</t>
  </si>
  <si>
    <t>Пенновское</t>
  </si>
  <si>
    <t>Троснянское</t>
  </si>
  <si>
    <t>ИТОГО</t>
  </si>
  <si>
    <t>Численность населения на 1.01.2010</t>
  </si>
  <si>
    <t>Содержание органов местного самоупраления</t>
  </si>
  <si>
    <t>Сумма расходов за 2008 год</t>
  </si>
  <si>
    <t>Сумма расходов за 2009 год</t>
  </si>
  <si>
    <t>Сумма расходов на 1.10.2010</t>
  </si>
  <si>
    <t>Ожидаемое исполнение за 4 квартал 2010 года</t>
  </si>
  <si>
    <t>Ожидаемое исполнеие за 2010 год</t>
  </si>
  <si>
    <t>Расходы за 3 года</t>
  </si>
  <si>
    <t>Расчетные нормативные расходы на содержание органов местного самоуправления</t>
  </si>
  <si>
    <t>Национальная экономика</t>
  </si>
  <si>
    <t>Коммунальное хозяйство</t>
  </si>
  <si>
    <t>Итого расходов</t>
  </si>
  <si>
    <t>Норматив расходов на содержание  на содержание органов местного самоуправления на 2011 год</t>
  </si>
  <si>
    <t>Норматив расходов на 2011 год</t>
  </si>
  <si>
    <t>Нормативные расходы на 2011 год</t>
  </si>
  <si>
    <t>Культура</t>
  </si>
  <si>
    <t>Пенсионное обеспечение</t>
  </si>
  <si>
    <t>Физкультура и спорт</t>
  </si>
  <si>
    <t>Расчетные нормативные расходы на2011 год</t>
  </si>
  <si>
    <t>ИТОГО нормативные расходы на 2011 год</t>
  </si>
  <si>
    <t>Коэффициент</t>
  </si>
  <si>
    <t>Жилищно-коммунальное хозяйство</t>
  </si>
  <si>
    <t>Ожидаемое исполнеие за 2022 год</t>
  </si>
  <si>
    <t>Сумма расходов за 2021 год</t>
  </si>
  <si>
    <t>Расчетные нормативные расходы на 2023 год</t>
  </si>
  <si>
    <t>Численность населения на 1.01.2022</t>
  </si>
  <si>
    <t>Расчет нормативов расходов по сельским поселениям для бюджета 2024 года ( по полномочиям по 131 ФЗ)</t>
  </si>
  <si>
    <t>Сумма расходов за 2022 год</t>
  </si>
  <si>
    <t>Сумма расходов на 1.12.2023</t>
  </si>
  <si>
    <t>Ожидаемое исполнение за декабрь  2023 года</t>
  </si>
  <si>
    <t>Норматив расходов на содержание  органов местного самоуправления на 2024 год</t>
  </si>
  <si>
    <t>Норматив расходов на 2024 год</t>
  </si>
  <si>
    <t>Нормативные расходы на 2024 год</t>
  </si>
  <si>
    <t>Численность населения на 1.01.2023 года</t>
  </si>
  <si>
    <t>ИТОГО нормативные расходы на 2024 год</t>
  </si>
  <si>
    <t>Сумма расходов за 2023 год</t>
  </si>
  <si>
    <t xml:space="preserve"> </t>
  </si>
  <si>
    <t>Расчет нормативов расходов по сельским поселениям для бюджета 2026 года (по полномочиям по 131 ФЗ)</t>
  </si>
  <si>
    <t>Сумма расходов за 2024 год</t>
  </si>
  <si>
    <t>Численность населения на 1.01.2025</t>
  </si>
  <si>
    <t>Сумма расходов на 1.12.2025</t>
  </si>
  <si>
    <t>Норматив расходов на содержание  органов местного самоуправления на 2026 год</t>
  </si>
  <si>
    <t>Ожидаемое исполнеие за 2025 год</t>
  </si>
  <si>
    <t>Норматив расходов на 2026 год</t>
  </si>
  <si>
    <t>Расчетные нормативные расходы на 2026 год</t>
  </si>
  <si>
    <t>Нормативные расходы на 2026 год</t>
  </si>
  <si>
    <t>Численность населения на 1.01.2025 года</t>
  </si>
  <si>
    <t>ИТОГО нормативные расходы на 2026 год</t>
  </si>
  <si>
    <t>Ожидаемое исполнение за декабрь  2025 года</t>
  </si>
</sst>
</file>

<file path=xl/styles.xml><?xml version="1.0" encoding="utf-8"?>
<styleSheet xmlns="http://schemas.openxmlformats.org/spreadsheetml/2006/main">
  <numFmts count="1">
    <numFmt numFmtId="172" formatCode="0.0"/>
  </numFmts>
  <fonts count="3"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Fill="1" applyBorder="1"/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wrapText="1"/>
    </xf>
    <xf numFmtId="172" fontId="0" fillId="0" borderId="1" xfId="0" applyNumberFormat="1" applyBorder="1"/>
    <xf numFmtId="0" fontId="1" fillId="0" borderId="2" xfId="0" applyFont="1" applyFill="1" applyBorder="1"/>
    <xf numFmtId="172" fontId="1" fillId="0" borderId="1" xfId="0" applyNumberFormat="1" applyFont="1" applyBorder="1"/>
    <xf numFmtId="172" fontId="0" fillId="0" borderId="0" xfId="0" applyNumberFormat="1"/>
    <xf numFmtId="2" fontId="0" fillId="0" borderId="1" xfId="0" applyNumberFormat="1" applyBorder="1"/>
    <xf numFmtId="2" fontId="1" fillId="0" borderId="1" xfId="0" applyNumberFormat="1" applyFont="1" applyBorder="1"/>
    <xf numFmtId="172" fontId="0" fillId="0" borderId="2" xfId="0" applyNumberFormat="1" applyFill="1" applyBorder="1"/>
    <xf numFmtId="0" fontId="0" fillId="2" borderId="1" xfId="0" applyFill="1" applyBorder="1"/>
    <xf numFmtId="0" fontId="1" fillId="2" borderId="1" xfId="0" applyFont="1" applyFill="1" applyBorder="1"/>
    <xf numFmtId="172" fontId="0" fillId="2" borderId="1" xfId="0" applyNumberFormat="1" applyFill="1" applyBorder="1"/>
    <xf numFmtId="2" fontId="0" fillId="2" borderId="1" xfId="0" applyNumberFormat="1" applyFill="1" applyBorder="1"/>
    <xf numFmtId="0" fontId="2" fillId="2" borderId="1" xfId="0" applyFont="1" applyFill="1" applyBorder="1"/>
    <xf numFmtId="0" fontId="0" fillId="2" borderId="0" xfId="0" applyFill="1"/>
    <xf numFmtId="172" fontId="0" fillId="2" borderId="1" xfId="0" applyNumberFormat="1" applyFont="1" applyFill="1" applyBorder="1"/>
    <xf numFmtId="0" fontId="0" fillId="2" borderId="1" xfId="0" applyFont="1" applyFill="1" applyBorder="1"/>
    <xf numFmtId="2" fontId="0" fillId="2" borderId="1" xfId="0" applyNumberFormat="1" applyFont="1" applyFill="1" applyBorder="1"/>
    <xf numFmtId="0" fontId="0" fillId="3" borderId="1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Q142"/>
  <sheetViews>
    <sheetView tabSelected="1" zoomScale="86" zoomScaleNormal="86" workbookViewId="0">
      <pane xSplit="1" ySplit="18" topLeftCell="B19" activePane="bottomRight" state="frozen"/>
      <selection pane="topRight" activeCell="B1" sqref="B1"/>
      <selection pane="bottomLeft" activeCell="A19" sqref="A19"/>
      <selection pane="bottomRight" activeCell="K25" sqref="K25"/>
    </sheetView>
  </sheetViews>
  <sheetFormatPr defaultRowHeight="12.75"/>
  <cols>
    <col min="1" max="1" width="17" customWidth="1"/>
    <col min="2" max="2" width="7.85546875" customWidth="1"/>
    <col min="3" max="3" width="7.5703125" customWidth="1"/>
    <col min="4" max="5" width="8.140625" customWidth="1"/>
    <col min="6" max="6" width="9.140625" customWidth="1"/>
    <col min="7" max="7" width="8.28515625" customWidth="1"/>
    <col min="8" max="10" width="9.140625" customWidth="1"/>
    <col min="11" max="11" width="10.28515625" customWidth="1"/>
    <col min="12" max="12" width="6.140625" customWidth="1"/>
    <col min="13" max="13" width="7.42578125" customWidth="1"/>
    <col min="14" max="14" width="6.5703125" customWidth="1"/>
    <col min="15" max="15" width="9.7109375" customWidth="1"/>
    <col min="16" max="16" width="8" customWidth="1"/>
    <col min="17" max="17" width="7.28515625" customWidth="1"/>
    <col min="18" max="18" width="7" customWidth="1"/>
    <col min="19" max="19" width="6.42578125" customWidth="1"/>
    <col min="20" max="21" width="9.140625" customWidth="1"/>
    <col min="22" max="23" width="8" customWidth="1"/>
    <col min="24" max="24" width="8.140625" customWidth="1"/>
    <col min="25" max="25" width="7.28515625" customWidth="1"/>
    <col min="26" max="26" width="9.140625" customWidth="1"/>
    <col min="27" max="27" width="8" customWidth="1"/>
    <col min="28" max="28" width="9.140625" customWidth="1"/>
    <col min="29" max="29" width="7.7109375" customWidth="1"/>
    <col min="30" max="30" width="8" customWidth="1"/>
    <col min="31" max="31" width="7.7109375" customWidth="1"/>
    <col min="32" max="33" width="9.140625" customWidth="1"/>
    <col min="34" max="34" width="6.5703125" customWidth="1"/>
    <col min="35" max="35" width="7.85546875" customWidth="1"/>
    <col min="36" max="36" width="9.140625" customWidth="1"/>
    <col min="37" max="37" width="14.5703125" customWidth="1"/>
    <col min="38" max="40" width="9.140625" customWidth="1"/>
    <col min="41" max="41" width="9.5703125" bestFit="1" customWidth="1"/>
    <col min="42" max="42" width="0.140625" customWidth="1"/>
  </cols>
  <sheetData>
    <row r="2" spans="1:42">
      <c r="D2" t="s">
        <v>47</v>
      </c>
    </row>
    <row r="3" spans="1:42" hidden="1"/>
    <row r="4" spans="1:42" hidden="1">
      <c r="A4" s="1"/>
      <c r="B4" s="1"/>
      <c r="C4" s="1"/>
      <c r="D4" s="30" t="s">
        <v>11</v>
      </c>
      <c r="E4" s="30"/>
      <c r="F4" s="30"/>
      <c r="G4" s="30"/>
      <c r="H4" s="30"/>
      <c r="I4" s="30"/>
      <c r="J4" s="30"/>
      <c r="K4" s="30"/>
      <c r="L4" s="31" t="s">
        <v>19</v>
      </c>
      <c r="M4" s="32"/>
      <c r="N4" s="32"/>
      <c r="O4" s="32"/>
      <c r="P4" s="33"/>
      <c r="Q4" s="30" t="s">
        <v>20</v>
      </c>
      <c r="R4" s="30"/>
      <c r="S4" s="30"/>
      <c r="T4" s="30"/>
      <c r="U4" s="30"/>
      <c r="V4" s="4"/>
      <c r="W4" s="30" t="s">
        <v>25</v>
      </c>
      <c r="X4" s="30"/>
      <c r="Y4" s="30"/>
      <c r="Z4" s="30"/>
      <c r="AA4" s="30"/>
      <c r="AB4" s="4"/>
      <c r="AC4" s="30" t="s">
        <v>26</v>
      </c>
      <c r="AD4" s="30"/>
      <c r="AE4" s="30"/>
      <c r="AF4" s="30"/>
      <c r="AG4" s="30"/>
      <c r="AH4" s="30" t="s">
        <v>27</v>
      </c>
      <c r="AI4" s="30"/>
      <c r="AJ4" s="30"/>
      <c r="AK4" s="30"/>
      <c r="AL4" s="30"/>
      <c r="AM4" s="1"/>
      <c r="AN4" s="1"/>
      <c r="AO4" s="1"/>
      <c r="AP4" s="1"/>
    </row>
    <row r="5" spans="1:42" ht="178.5" hidden="1">
      <c r="A5" s="2" t="s">
        <v>0</v>
      </c>
      <c r="B5" s="2" t="s">
        <v>10</v>
      </c>
      <c r="C5" s="2"/>
      <c r="D5" s="2" t="s">
        <v>12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22</v>
      </c>
      <c r="K5" s="2" t="s">
        <v>18</v>
      </c>
      <c r="L5" s="2" t="s">
        <v>12</v>
      </c>
      <c r="M5" s="2" t="s">
        <v>13</v>
      </c>
      <c r="N5" s="2" t="s">
        <v>21</v>
      </c>
      <c r="O5" s="2" t="s">
        <v>23</v>
      </c>
      <c r="P5" s="2" t="s">
        <v>28</v>
      </c>
      <c r="Q5" s="2" t="s">
        <v>12</v>
      </c>
      <c r="R5" s="2" t="s">
        <v>13</v>
      </c>
      <c r="S5" s="2" t="s">
        <v>21</v>
      </c>
      <c r="T5" s="2" t="s">
        <v>23</v>
      </c>
      <c r="U5" s="2" t="s">
        <v>24</v>
      </c>
      <c r="V5" s="2"/>
      <c r="W5" s="2" t="s">
        <v>12</v>
      </c>
      <c r="X5" s="2" t="s">
        <v>13</v>
      </c>
      <c r="Y5" s="2" t="s">
        <v>21</v>
      </c>
      <c r="Z5" s="2" t="s">
        <v>23</v>
      </c>
      <c r="AA5" s="2" t="s">
        <v>24</v>
      </c>
      <c r="AB5" s="2"/>
      <c r="AC5" s="2" t="s">
        <v>12</v>
      </c>
      <c r="AD5" s="2" t="s">
        <v>13</v>
      </c>
      <c r="AE5" s="2" t="s">
        <v>21</v>
      </c>
      <c r="AF5" s="2" t="s">
        <v>23</v>
      </c>
      <c r="AG5" s="2" t="s">
        <v>24</v>
      </c>
      <c r="AH5" s="2" t="s">
        <v>12</v>
      </c>
      <c r="AI5" s="2" t="s">
        <v>13</v>
      </c>
      <c r="AJ5" s="2" t="s">
        <v>21</v>
      </c>
      <c r="AK5" s="2" t="s">
        <v>23</v>
      </c>
      <c r="AL5" s="2" t="s">
        <v>24</v>
      </c>
      <c r="AM5" s="1"/>
      <c r="AN5" s="1"/>
      <c r="AO5" s="2" t="s">
        <v>29</v>
      </c>
      <c r="AP5" s="1"/>
    </row>
    <row r="6" spans="1:42" hidden="1">
      <c r="A6" s="1" t="s">
        <v>1</v>
      </c>
      <c r="B6" s="1">
        <v>935</v>
      </c>
      <c r="C6" s="1"/>
      <c r="D6" s="1">
        <f>680.8+29</f>
        <v>709.8</v>
      </c>
      <c r="E6" s="1">
        <f>289.5+214</f>
        <v>503.5</v>
      </c>
      <c r="F6" s="1">
        <f>144.3+237.3+2</f>
        <v>383.6</v>
      </c>
      <c r="G6" s="1">
        <v>152</v>
      </c>
      <c r="H6" s="1">
        <f t="shared" ref="H6:H13" si="0">F6+G6</f>
        <v>535.6</v>
      </c>
      <c r="I6" s="1">
        <f t="shared" ref="I6:I13" si="1">D6+E6+H6</f>
        <v>1748.9</v>
      </c>
      <c r="J6" s="1"/>
      <c r="K6" s="1">
        <f>J14*B6</f>
        <v>436.5946504617375</v>
      </c>
      <c r="L6" s="1">
        <v>48.125</v>
      </c>
      <c r="M6" s="1"/>
      <c r="N6" s="1">
        <f t="shared" ref="N6:N13" si="2">L6+M6</f>
        <v>48.125</v>
      </c>
      <c r="O6" s="1"/>
      <c r="P6" s="1">
        <f>O14*B6</f>
        <v>17.521886800776425</v>
      </c>
      <c r="Q6" s="1">
        <f>8.111+12.125+3.29+2.322+8.8</f>
        <v>34.647999999999996</v>
      </c>
      <c r="R6" s="1">
        <f>94.452+55.891</f>
        <v>150.34299999999999</v>
      </c>
      <c r="S6" s="1">
        <f t="shared" ref="S6:S14" si="3">Q6+R6</f>
        <v>184.99099999999999</v>
      </c>
      <c r="T6" s="1"/>
      <c r="U6" s="1">
        <f>T14*B6</f>
        <v>273.27528123345684</v>
      </c>
      <c r="V6" s="1"/>
      <c r="W6" s="1">
        <v>646.20000000000005</v>
      </c>
      <c r="X6" s="1">
        <v>618.79999999999995</v>
      </c>
      <c r="Y6" s="1">
        <f t="shared" ref="Y6:Y13" si="4">W6+X6</f>
        <v>1265</v>
      </c>
      <c r="Z6" s="1"/>
      <c r="AA6" s="1">
        <f>Z14*B6</f>
        <v>456.11628838009528</v>
      </c>
      <c r="AB6" s="1"/>
      <c r="AC6" s="1">
        <v>41.1</v>
      </c>
      <c r="AD6" s="1">
        <v>65.7</v>
      </c>
      <c r="AE6" s="1">
        <f t="shared" ref="AE6:AE14" si="5">AC6+AD6</f>
        <v>106.80000000000001</v>
      </c>
      <c r="AF6" s="1"/>
      <c r="AG6" s="1">
        <f>AF14*B6</f>
        <v>11.863214663843305</v>
      </c>
      <c r="AH6" s="1"/>
      <c r="AI6" s="1"/>
      <c r="AJ6" s="1">
        <f t="shared" ref="AJ6:AJ14" si="6">AH6+AI6</f>
        <v>0</v>
      </c>
      <c r="AK6" s="1"/>
      <c r="AL6" s="1">
        <f>AK14*B6</f>
        <v>0.19386359625904356</v>
      </c>
      <c r="AM6" s="1"/>
      <c r="AN6" s="1"/>
      <c r="AO6" s="1">
        <f t="shared" ref="AO6:AO13" si="7">K6+P6+U6+AA6+AG6+AL6</f>
        <v>1195.5651851361683</v>
      </c>
      <c r="AP6" s="1"/>
    </row>
    <row r="7" spans="1:42" hidden="1">
      <c r="A7" s="1" t="s">
        <v>2</v>
      </c>
      <c r="B7" s="1">
        <v>1198</v>
      </c>
      <c r="C7" s="1"/>
      <c r="D7" s="1">
        <f>411.141+261.273+14.56</f>
        <v>686.97399999999993</v>
      </c>
      <c r="E7" s="1">
        <v>548</v>
      </c>
      <c r="F7" s="1">
        <v>391.5</v>
      </c>
      <c r="G7" s="1">
        <v>152</v>
      </c>
      <c r="H7" s="1">
        <f t="shared" si="0"/>
        <v>543.5</v>
      </c>
      <c r="I7" s="1">
        <f t="shared" si="1"/>
        <v>1778.4739999999999</v>
      </c>
      <c r="J7" s="1"/>
      <c r="K7" s="1">
        <f>J14*B7</f>
        <v>559.40148797129575</v>
      </c>
      <c r="L7" s="1">
        <v>48.125</v>
      </c>
      <c r="M7" s="1"/>
      <c r="N7" s="1">
        <f t="shared" si="2"/>
        <v>48.125</v>
      </c>
      <c r="O7" s="1"/>
      <c r="P7" s="1">
        <f>O14*B7</f>
        <v>22.450503088053644</v>
      </c>
      <c r="Q7" s="1">
        <f>27.632+17.023+26.627+95.173</f>
        <v>166.45499999999998</v>
      </c>
      <c r="R7" s="1">
        <v>355.4</v>
      </c>
      <c r="S7" s="1">
        <f t="shared" si="3"/>
        <v>521.85500000000002</v>
      </c>
      <c r="T7" s="1"/>
      <c r="U7" s="1">
        <f>T14*B7</f>
        <v>350.14308761249339</v>
      </c>
      <c r="V7" s="1"/>
      <c r="W7" s="1">
        <f>229.897+209.018</f>
        <v>438.91499999999996</v>
      </c>
      <c r="X7" s="1">
        <v>441.2</v>
      </c>
      <c r="Y7" s="1">
        <f t="shared" si="4"/>
        <v>880.11500000000001</v>
      </c>
      <c r="Z7" s="1"/>
      <c r="AA7" s="1">
        <f>Z14*B7</f>
        <v>584.414239015352</v>
      </c>
      <c r="AB7" s="1"/>
      <c r="AC7" s="1"/>
      <c r="AD7" s="1"/>
      <c r="AE7" s="1">
        <f t="shared" si="5"/>
        <v>0</v>
      </c>
      <c r="AF7" s="1"/>
      <c r="AG7" s="1">
        <f>AF14*B7</f>
        <v>15.200140285865539</v>
      </c>
      <c r="AH7" s="1"/>
      <c r="AI7" s="1"/>
      <c r="AJ7" s="1">
        <f t="shared" si="6"/>
        <v>0</v>
      </c>
      <c r="AK7" s="1"/>
      <c r="AL7" s="1">
        <f>AK14*B7</f>
        <v>0.24839421210517024</v>
      </c>
      <c r="AM7" s="1"/>
      <c r="AN7" s="1"/>
      <c r="AO7" s="1">
        <f t="shared" si="7"/>
        <v>1531.8578521851655</v>
      </c>
      <c r="AP7" s="1"/>
    </row>
    <row r="8" spans="1:42" hidden="1">
      <c r="A8" s="1" t="s">
        <v>3</v>
      </c>
      <c r="B8" s="1">
        <v>542</v>
      </c>
      <c r="C8" s="1"/>
      <c r="D8" s="1">
        <f>692.9+31</f>
        <v>723.9</v>
      </c>
      <c r="E8" s="1">
        <f>200+365.3</f>
        <v>565.29999999999995</v>
      </c>
      <c r="F8" s="1">
        <f>164.676+233.662</f>
        <v>398.33799999999997</v>
      </c>
      <c r="G8" s="1">
        <v>170</v>
      </c>
      <c r="H8" s="1">
        <f t="shared" si="0"/>
        <v>568.33799999999997</v>
      </c>
      <c r="I8" s="1">
        <f t="shared" si="1"/>
        <v>1857.5379999999998</v>
      </c>
      <c r="J8" s="1"/>
      <c r="K8" s="1">
        <f>J14*B8</f>
        <v>253.08481342273978</v>
      </c>
      <c r="L8" s="1">
        <v>14.436999999999999</v>
      </c>
      <c r="M8" s="1">
        <v>33.700000000000003</v>
      </c>
      <c r="N8" s="1">
        <f t="shared" si="2"/>
        <v>48.137</v>
      </c>
      <c r="O8" s="1"/>
      <c r="P8" s="1">
        <f>O14*B8</f>
        <v>10.157072348685372</v>
      </c>
      <c r="Q8" s="1">
        <f>109.8+23.114</f>
        <v>132.91399999999999</v>
      </c>
      <c r="R8" s="1">
        <f>67</f>
        <v>67</v>
      </c>
      <c r="S8" s="1">
        <f t="shared" si="3"/>
        <v>199.91399999999999</v>
      </c>
      <c r="T8" s="1"/>
      <c r="U8" s="1">
        <f>T14*B8</f>
        <v>158.4119812069878</v>
      </c>
      <c r="V8" s="1"/>
      <c r="W8" s="1">
        <v>433.7</v>
      </c>
      <c r="X8" s="1">
        <v>474.1</v>
      </c>
      <c r="Y8" s="1">
        <f t="shared" si="4"/>
        <v>907.8</v>
      </c>
      <c r="Z8" s="1"/>
      <c r="AA8" s="1">
        <f>Z14*B8</f>
        <v>264.40109978824773</v>
      </c>
      <c r="AB8" s="1"/>
      <c r="AC8" s="1">
        <v>32.9</v>
      </c>
      <c r="AD8" s="1">
        <v>32.799999999999997</v>
      </c>
      <c r="AE8" s="1">
        <f t="shared" si="5"/>
        <v>65.699999999999989</v>
      </c>
      <c r="AF8" s="1"/>
      <c r="AG8" s="1">
        <f>AF14*B8</f>
        <v>6.8768581259925892</v>
      </c>
      <c r="AH8" s="1"/>
      <c r="AI8" s="1"/>
      <c r="AJ8" s="1">
        <f t="shared" si="6"/>
        <v>0</v>
      </c>
      <c r="AK8" s="1"/>
      <c r="AL8" s="1">
        <f>AK14*B8</f>
        <v>0.11237868360684664</v>
      </c>
      <c r="AM8" s="1"/>
      <c r="AN8" s="1"/>
      <c r="AO8" s="1">
        <f t="shared" si="7"/>
        <v>693.04420357626009</v>
      </c>
      <c r="AP8" s="1"/>
    </row>
    <row r="9" spans="1:42" hidden="1">
      <c r="A9" s="1" t="s">
        <v>4</v>
      </c>
      <c r="B9" s="1">
        <v>701</v>
      </c>
      <c r="C9" s="1"/>
      <c r="D9" s="1">
        <v>659.2</v>
      </c>
      <c r="E9" s="1">
        <v>571.79999999999995</v>
      </c>
      <c r="F9" s="1">
        <v>392.1</v>
      </c>
      <c r="G9" s="1">
        <v>200</v>
      </c>
      <c r="H9" s="1">
        <f t="shared" si="0"/>
        <v>592.1</v>
      </c>
      <c r="I9" s="1">
        <f t="shared" si="1"/>
        <v>1823.1</v>
      </c>
      <c r="J9" s="1"/>
      <c r="K9" s="1">
        <f>J14*B9</f>
        <v>327.32925130874651</v>
      </c>
      <c r="L9" s="1">
        <v>38</v>
      </c>
      <c r="M9" s="1">
        <v>10.125</v>
      </c>
      <c r="N9" s="1">
        <f t="shared" si="2"/>
        <v>48.125</v>
      </c>
      <c r="O9" s="1"/>
      <c r="P9" s="1">
        <f>O14*B9</f>
        <v>13.136730104111523</v>
      </c>
      <c r="Q9" s="1">
        <f>17+44.808</f>
        <v>61.808</v>
      </c>
      <c r="R9" s="1">
        <f>40.279+17.418</f>
        <v>57.697000000000003</v>
      </c>
      <c r="S9" s="1">
        <f t="shared" si="3"/>
        <v>119.505</v>
      </c>
      <c r="T9" s="1"/>
      <c r="U9" s="1">
        <f>T14*B9</f>
        <v>204.88339266807833</v>
      </c>
      <c r="V9" s="1"/>
      <c r="W9" s="1">
        <v>380.58</v>
      </c>
      <c r="X9" s="1">
        <v>390.2</v>
      </c>
      <c r="Y9" s="1">
        <f t="shared" si="4"/>
        <v>770.78</v>
      </c>
      <c r="Z9" s="1"/>
      <c r="AA9" s="1">
        <f>Z14*B9</f>
        <v>341.96526005823188</v>
      </c>
      <c r="AB9" s="1"/>
      <c r="AC9" s="1"/>
      <c r="AD9" s="1"/>
      <c r="AE9" s="1">
        <f t="shared" si="5"/>
        <v>0</v>
      </c>
      <c r="AF9" s="1"/>
      <c r="AG9" s="1">
        <f>AF14*B9</f>
        <v>8.8942390153520385</v>
      </c>
      <c r="AH9" s="1">
        <v>2.4</v>
      </c>
      <c r="AI9" s="1"/>
      <c r="AJ9" s="1">
        <f t="shared" si="6"/>
        <v>2.4</v>
      </c>
      <c r="AK9" s="1"/>
      <c r="AL9" s="1">
        <f>AK14*B9</f>
        <v>0.14534586200811714</v>
      </c>
      <c r="AM9" s="1"/>
      <c r="AN9" s="1"/>
      <c r="AO9" s="1">
        <f t="shared" si="7"/>
        <v>896.3542190165283</v>
      </c>
      <c r="AP9" s="1"/>
    </row>
    <row r="10" spans="1:42" hidden="1">
      <c r="A10" s="1" t="s">
        <v>5</v>
      </c>
      <c r="B10" s="1">
        <v>1094</v>
      </c>
      <c r="C10" s="1"/>
      <c r="D10" s="1">
        <f>562.405+254.024</f>
        <v>816.42899999999997</v>
      </c>
      <c r="E10" s="1">
        <v>713.7</v>
      </c>
      <c r="F10" s="1">
        <v>517.1</v>
      </c>
      <c r="G10" s="1">
        <v>170</v>
      </c>
      <c r="H10" s="1">
        <f t="shared" si="0"/>
        <v>687.1</v>
      </c>
      <c r="I10" s="1">
        <f t="shared" si="1"/>
        <v>2217.2289999999998</v>
      </c>
      <c r="J10" s="1"/>
      <c r="K10" s="1">
        <f>J14*B10</f>
        <v>510.83908834774417</v>
      </c>
      <c r="L10" s="1">
        <v>48</v>
      </c>
      <c r="M10" s="1"/>
      <c r="N10" s="1">
        <f t="shared" si="2"/>
        <v>48</v>
      </c>
      <c r="O10" s="1"/>
      <c r="P10" s="1">
        <f>O14*B10</f>
        <v>20.501544556202578</v>
      </c>
      <c r="Q10" s="1">
        <f>35.1+79.762+20.6+48.24</f>
        <v>183.702</v>
      </c>
      <c r="R10" s="1">
        <v>402.5</v>
      </c>
      <c r="S10" s="1">
        <f t="shared" si="3"/>
        <v>586.202</v>
      </c>
      <c r="T10" s="1"/>
      <c r="U10" s="1">
        <f>T14*B10</f>
        <v>319.74669269454733</v>
      </c>
      <c r="V10" s="1"/>
      <c r="W10" s="1">
        <f>535.296+201.124</f>
        <v>736.42000000000007</v>
      </c>
      <c r="X10" s="1">
        <v>850</v>
      </c>
      <c r="Y10" s="1">
        <f t="shared" si="4"/>
        <v>1586.42</v>
      </c>
      <c r="Z10" s="1"/>
      <c r="AA10" s="1">
        <f>Z14*B10</f>
        <v>533.68044865007937</v>
      </c>
      <c r="AB10" s="1"/>
      <c r="AC10" s="1"/>
      <c r="AD10" s="1"/>
      <c r="AE10" s="1">
        <f t="shared" si="5"/>
        <v>0</v>
      </c>
      <c r="AF10" s="1"/>
      <c r="AG10" s="1">
        <f>AF14*B10</f>
        <v>13.880595553202754</v>
      </c>
      <c r="AH10" s="1"/>
      <c r="AI10" s="1"/>
      <c r="AJ10" s="1">
        <f t="shared" si="6"/>
        <v>0</v>
      </c>
      <c r="AK10" s="1"/>
      <c r="AL10" s="1">
        <f>AK14*B10</f>
        <v>0.22683077466031407</v>
      </c>
      <c r="AM10" s="1"/>
      <c r="AN10" s="1"/>
      <c r="AO10" s="1">
        <f t="shared" si="7"/>
        <v>1398.8752005764366</v>
      </c>
      <c r="AP10" s="1"/>
    </row>
    <row r="11" spans="1:42" hidden="1">
      <c r="A11" s="1" t="s">
        <v>6</v>
      </c>
      <c r="B11" s="1">
        <v>1616</v>
      </c>
      <c r="C11" s="1"/>
      <c r="D11" s="1">
        <f>676.7</f>
        <v>676.7</v>
      </c>
      <c r="E11" s="1">
        <f>658.7+29.5</f>
        <v>688.2</v>
      </c>
      <c r="F11" s="1">
        <f>125.348+271.113</f>
        <v>396.46100000000001</v>
      </c>
      <c r="G11" s="1">
        <v>200</v>
      </c>
      <c r="H11" s="1">
        <f t="shared" si="0"/>
        <v>596.46100000000001</v>
      </c>
      <c r="I11" s="1">
        <f t="shared" si="1"/>
        <v>1961.3610000000001</v>
      </c>
      <c r="J11" s="1"/>
      <c r="K11" s="1">
        <f>J14*B11</f>
        <v>754.58497876595482</v>
      </c>
      <c r="L11" s="1">
        <v>48.125</v>
      </c>
      <c r="M11" s="1">
        <v>21</v>
      </c>
      <c r="N11" s="1">
        <f t="shared" si="2"/>
        <v>69.125</v>
      </c>
      <c r="O11" s="1"/>
      <c r="P11" s="1">
        <f>O14*B11</f>
        <v>30.283817187224283</v>
      </c>
      <c r="Q11" s="1">
        <f>87.343+30.915+56.428</f>
        <v>174.68600000000001</v>
      </c>
      <c r="R11" s="1">
        <v>87.3</v>
      </c>
      <c r="S11" s="1">
        <f t="shared" si="3"/>
        <v>261.98599999999999</v>
      </c>
      <c r="T11" s="1"/>
      <c r="U11" s="1">
        <f>T14*B11</f>
        <v>472.31321334039171</v>
      </c>
      <c r="V11" s="1"/>
      <c r="W11" s="1">
        <v>1215.4000000000001</v>
      </c>
      <c r="X11" s="1">
        <v>1260.3</v>
      </c>
      <c r="Y11" s="1">
        <f t="shared" si="4"/>
        <v>2475.6999999999998</v>
      </c>
      <c r="Z11" s="1"/>
      <c r="AA11" s="1">
        <f>Z14*B11</f>
        <v>788.3250502911593</v>
      </c>
      <c r="AB11" s="1"/>
      <c r="AC11" s="1"/>
      <c r="AD11" s="1"/>
      <c r="AE11" s="1">
        <f t="shared" si="5"/>
        <v>0</v>
      </c>
      <c r="AF11" s="1"/>
      <c r="AG11" s="1">
        <f>AF14*B11</f>
        <v>20.503695076760192</v>
      </c>
      <c r="AH11" s="1">
        <v>2.2999999999999998</v>
      </c>
      <c r="AI11" s="1"/>
      <c r="AJ11" s="1">
        <f t="shared" si="6"/>
        <v>2.2999999999999998</v>
      </c>
      <c r="AK11" s="1"/>
      <c r="AL11" s="1">
        <f>AK14*B11</f>
        <v>0.33506264337391911</v>
      </c>
      <c r="AM11" s="1"/>
      <c r="AN11" s="1"/>
      <c r="AO11" s="1">
        <f t="shared" si="7"/>
        <v>2066.3458173048643</v>
      </c>
      <c r="AP11" s="1"/>
    </row>
    <row r="12" spans="1:42" hidden="1">
      <c r="A12" s="1" t="s">
        <v>7</v>
      </c>
      <c r="B12" s="1">
        <v>974</v>
      </c>
      <c r="C12" s="1"/>
      <c r="D12" s="1">
        <v>672.1</v>
      </c>
      <c r="E12" s="1">
        <f>230+346.1</f>
        <v>576.1</v>
      </c>
      <c r="F12" s="1">
        <f>150.072+263.822+2</f>
        <v>415.89400000000001</v>
      </c>
      <c r="G12" s="1">
        <v>165</v>
      </c>
      <c r="H12" s="1">
        <f t="shared" si="0"/>
        <v>580.89400000000001</v>
      </c>
      <c r="I12" s="1">
        <f t="shared" si="1"/>
        <v>1829.0940000000001</v>
      </c>
      <c r="J12" s="1"/>
      <c r="K12" s="1">
        <f>J14*B12</f>
        <v>454.8055503205693</v>
      </c>
      <c r="L12" s="1">
        <v>14.436999999999999</v>
      </c>
      <c r="M12" s="1">
        <v>33.686999999999998</v>
      </c>
      <c r="N12" s="1">
        <f t="shared" si="2"/>
        <v>48.123999999999995</v>
      </c>
      <c r="O12" s="1"/>
      <c r="P12" s="1">
        <f>O14*B12</f>
        <v>18.252746250220575</v>
      </c>
      <c r="Q12" s="1">
        <f>56.777+39.407</f>
        <v>96.183999999999997</v>
      </c>
      <c r="R12" s="1">
        <f>43.766+3.542</f>
        <v>47.308</v>
      </c>
      <c r="S12" s="1">
        <f t="shared" si="3"/>
        <v>143.49199999999999</v>
      </c>
      <c r="T12" s="1"/>
      <c r="U12" s="1">
        <f>T14*B12</f>
        <v>284.67392932768661</v>
      </c>
      <c r="V12" s="1"/>
      <c r="W12" s="1">
        <v>735.1</v>
      </c>
      <c r="X12" s="1">
        <v>792.9</v>
      </c>
      <c r="Y12" s="1">
        <f t="shared" si="4"/>
        <v>1528</v>
      </c>
      <c r="Z12" s="1"/>
      <c r="AA12" s="1">
        <f>Z14*B12</f>
        <v>475.14145976707255</v>
      </c>
      <c r="AB12" s="1"/>
      <c r="AC12" s="1"/>
      <c r="AD12" s="1"/>
      <c r="AE12" s="1">
        <f t="shared" si="5"/>
        <v>0</v>
      </c>
      <c r="AF12" s="1"/>
      <c r="AG12" s="1">
        <f>AF14*B12</f>
        <v>12.358043938591848</v>
      </c>
      <c r="AH12" s="1"/>
      <c r="AI12" s="1"/>
      <c r="AJ12" s="1">
        <f t="shared" si="6"/>
        <v>0</v>
      </c>
      <c r="AK12" s="1"/>
      <c r="AL12" s="1">
        <f>AK14*U12</f>
        <v>5.9024504492682497E-2</v>
      </c>
      <c r="AM12" s="1"/>
      <c r="AN12" s="1"/>
      <c r="AO12" s="1">
        <f t="shared" si="7"/>
        <v>1245.2907541086338</v>
      </c>
      <c r="AP12" s="1"/>
    </row>
    <row r="13" spans="1:42" hidden="1">
      <c r="A13" s="1" t="s">
        <v>8</v>
      </c>
      <c r="B13" s="1">
        <v>4274</v>
      </c>
      <c r="C13" s="1"/>
      <c r="D13" s="1">
        <v>998.3</v>
      </c>
      <c r="E13" s="1">
        <f>250.7+564.4</f>
        <v>815.09999999999991</v>
      </c>
      <c r="F13" s="1">
        <f>219.309+428.698</f>
        <v>648.00699999999995</v>
      </c>
      <c r="G13" s="1">
        <v>200</v>
      </c>
      <c r="H13" s="1">
        <f t="shared" si="0"/>
        <v>848.00699999999995</v>
      </c>
      <c r="I13" s="1">
        <f t="shared" si="1"/>
        <v>2661.4069999999997</v>
      </c>
      <c r="J13" s="1"/>
      <c r="K13" s="1">
        <f>J14*B13</f>
        <v>1995.7278460678781</v>
      </c>
      <c r="L13" s="1">
        <v>14.436999999999999</v>
      </c>
      <c r="M13" s="1">
        <f>18.9+33.7</f>
        <v>52.6</v>
      </c>
      <c r="N13" s="1">
        <f t="shared" si="2"/>
        <v>67.037000000000006</v>
      </c>
      <c r="O13" s="1"/>
      <c r="P13" s="1">
        <f>O14*B13</f>
        <v>80.09469966472561</v>
      </c>
      <c r="Q13" s="1">
        <f>1722.4+711.9</f>
        <v>2434.3000000000002</v>
      </c>
      <c r="R13" s="1">
        <f>2173</f>
        <v>2173</v>
      </c>
      <c r="S13" s="1">
        <f t="shared" si="3"/>
        <v>4607.3</v>
      </c>
      <c r="T13" s="1"/>
      <c r="U13" s="1">
        <f>T14*B13</f>
        <v>1249.1749219163578</v>
      </c>
      <c r="V13" s="1"/>
      <c r="W13" s="1">
        <v>895.4</v>
      </c>
      <c r="X13" s="1">
        <v>748.8</v>
      </c>
      <c r="Y13" s="1">
        <f t="shared" si="4"/>
        <v>1644.1999999999998</v>
      </c>
      <c r="Z13" s="1"/>
      <c r="AA13" s="1">
        <f>Z14*B13</f>
        <v>2084.9636540497618</v>
      </c>
      <c r="AB13" s="1"/>
      <c r="AC13" s="1">
        <v>51.41</v>
      </c>
      <c r="AD13" s="1">
        <v>63.7</v>
      </c>
      <c r="AE13" s="1">
        <f t="shared" si="5"/>
        <v>115.11</v>
      </c>
      <c r="AF13" s="1"/>
      <c r="AG13" s="1">
        <f>AF14*B13</f>
        <v>54.228213340391747</v>
      </c>
      <c r="AH13" s="1"/>
      <c r="AI13" s="1"/>
      <c r="AJ13" s="1">
        <f t="shared" si="6"/>
        <v>0</v>
      </c>
      <c r="AK13" s="1"/>
      <c r="AL13" s="1">
        <f>AK14*B13</f>
        <v>0.88617434268572426</v>
      </c>
      <c r="AM13" s="1"/>
      <c r="AN13" s="1"/>
      <c r="AO13" s="1">
        <f t="shared" si="7"/>
        <v>5465.0755093818007</v>
      </c>
      <c r="AP13" s="1"/>
    </row>
    <row r="14" spans="1:42" hidden="1">
      <c r="A14" s="1" t="s">
        <v>9</v>
      </c>
      <c r="B14" s="1">
        <f>SUM(B6:B13)</f>
        <v>11334</v>
      </c>
      <c r="C14" s="1"/>
      <c r="D14" s="1">
        <f t="shared" ref="D14:I14" si="8">SUM(D6:D13)</f>
        <v>5943.4030000000002</v>
      </c>
      <c r="E14" s="1">
        <f t="shared" si="8"/>
        <v>4981.7000000000007</v>
      </c>
      <c r="F14" s="1">
        <f t="shared" si="8"/>
        <v>3543.0000000000005</v>
      </c>
      <c r="G14" s="1">
        <f t="shared" si="8"/>
        <v>1409</v>
      </c>
      <c r="H14" s="1">
        <f t="shared" si="8"/>
        <v>4952</v>
      </c>
      <c r="I14" s="1">
        <f t="shared" si="8"/>
        <v>15877.102999999999</v>
      </c>
      <c r="J14" s="1">
        <f>I14/3/B14</f>
        <v>0.46694615022645719</v>
      </c>
      <c r="K14" s="1">
        <f>SUM(K6:K13)</f>
        <v>5292.3676666666661</v>
      </c>
      <c r="L14" s="1">
        <f>SUM(L6:L13)</f>
        <v>273.68600000000004</v>
      </c>
      <c r="M14" s="1">
        <f>SUM(M6:M13)</f>
        <v>151.11199999999999</v>
      </c>
      <c r="N14" s="1">
        <f>SUM(N6:N13)</f>
        <v>424.798</v>
      </c>
      <c r="O14" s="1">
        <f>N14/2/B14</f>
        <v>1.8739985883183343E-2</v>
      </c>
      <c r="P14" s="1">
        <f>SUM(P6:P13)</f>
        <v>212.399</v>
      </c>
      <c r="Q14" s="1">
        <f>SUM(Q6:Q13)</f>
        <v>3284.6970000000001</v>
      </c>
      <c r="R14" s="1">
        <f>SUM(R6:R13)</f>
        <v>3340.5479999999998</v>
      </c>
      <c r="S14" s="1">
        <f t="shared" si="3"/>
        <v>6625.2449999999999</v>
      </c>
      <c r="T14" s="1">
        <f>S14/2/B14</f>
        <v>0.29227302805717309</v>
      </c>
      <c r="U14" s="1">
        <f>SUM(U6:U13)</f>
        <v>3312.6224999999995</v>
      </c>
      <c r="V14" s="1"/>
      <c r="W14" s="1">
        <f>SUM(W6:W13)</f>
        <v>5481.7150000000001</v>
      </c>
      <c r="X14" s="1">
        <f>SUM(X6:X13)</f>
        <v>5576.3</v>
      </c>
      <c r="Y14" s="1">
        <f>SUM(Y6:Y13)</f>
        <v>11058.014999999999</v>
      </c>
      <c r="Z14" s="1">
        <f>Y14/2/B14</f>
        <v>0.48782490735839068</v>
      </c>
      <c r="AA14" s="1">
        <f>SUM(AA6:AA13)</f>
        <v>5529.0074999999997</v>
      </c>
      <c r="AB14" s="1"/>
      <c r="AC14" s="1">
        <f>SUM(AC6:AC13)</f>
        <v>125.41</v>
      </c>
      <c r="AD14" s="1">
        <f>SUM(AD6:AD13)</f>
        <v>162.19999999999999</v>
      </c>
      <c r="AE14" s="1">
        <f t="shared" si="5"/>
        <v>287.61</v>
      </c>
      <c r="AF14" s="1">
        <f>AE14/2/B14</f>
        <v>1.2687930121757545E-2</v>
      </c>
      <c r="AG14" s="1">
        <f>SUM(AG6:AG13)</f>
        <v>143.80500000000001</v>
      </c>
      <c r="AH14" s="1">
        <f>SUM(AH6:AH13)</f>
        <v>4.6999999999999993</v>
      </c>
      <c r="AI14" s="1">
        <f>SUM(AI6:AI13)</f>
        <v>0</v>
      </c>
      <c r="AJ14" s="1">
        <f t="shared" si="6"/>
        <v>4.6999999999999993</v>
      </c>
      <c r="AK14" s="1">
        <f>AJ14/2/B14</f>
        <v>2.0734074466207867E-4</v>
      </c>
      <c r="AL14" s="1">
        <f>SUM(AL6:AL13)</f>
        <v>2.2070746191918174</v>
      </c>
      <c r="AM14" s="1"/>
      <c r="AN14" s="1"/>
      <c r="AO14" s="1">
        <f>SUM(AO6:AO13)</f>
        <v>14492.408741285857</v>
      </c>
      <c r="AP14" s="1"/>
    </row>
    <row r="15" spans="1:42" hidden="1"/>
    <row r="17" spans="1:43" ht="60" customHeight="1">
      <c r="A17" s="1"/>
      <c r="B17" s="1"/>
      <c r="C17" s="1"/>
      <c r="D17" s="34" t="s">
        <v>11</v>
      </c>
      <c r="E17" s="34"/>
      <c r="F17" s="34"/>
      <c r="G17" s="34"/>
      <c r="H17" s="34"/>
      <c r="I17" s="34"/>
      <c r="J17" s="34"/>
      <c r="K17" s="34"/>
      <c r="L17" s="35" t="s">
        <v>19</v>
      </c>
      <c r="M17" s="36"/>
      <c r="N17" s="36"/>
      <c r="O17" s="36"/>
      <c r="P17" s="37"/>
      <c r="Q17" s="34" t="s">
        <v>31</v>
      </c>
      <c r="R17" s="34"/>
      <c r="S17" s="34"/>
      <c r="T17" s="34"/>
      <c r="U17" s="34"/>
      <c r="V17" s="4"/>
      <c r="W17" s="38" t="s">
        <v>25</v>
      </c>
      <c r="X17" s="38"/>
      <c r="Y17" s="38"/>
      <c r="Z17" s="38"/>
      <c r="AA17" s="38"/>
      <c r="AB17" s="4"/>
      <c r="AC17" s="34" t="s">
        <v>26</v>
      </c>
      <c r="AD17" s="34"/>
      <c r="AE17" s="34"/>
      <c r="AF17" s="34"/>
      <c r="AG17" s="34"/>
      <c r="AH17" s="34" t="s">
        <v>27</v>
      </c>
      <c r="AI17" s="34"/>
      <c r="AJ17" s="34"/>
      <c r="AK17" s="34"/>
      <c r="AL17" s="34"/>
      <c r="AM17" s="1"/>
      <c r="AN17" s="1"/>
      <c r="AO17" s="1"/>
      <c r="AP17" s="1"/>
    </row>
    <row r="18" spans="1:43" ht="153">
      <c r="A18" s="27" t="s">
        <v>0</v>
      </c>
      <c r="B18" s="28" t="s">
        <v>49</v>
      </c>
      <c r="C18" s="27"/>
      <c r="D18" s="27" t="s">
        <v>45</v>
      </c>
      <c r="E18" s="27" t="s">
        <v>48</v>
      </c>
      <c r="F18" s="29" t="s">
        <v>50</v>
      </c>
      <c r="G18" s="29" t="s">
        <v>58</v>
      </c>
      <c r="H18" s="27" t="s">
        <v>52</v>
      </c>
      <c r="I18" s="27" t="s">
        <v>17</v>
      </c>
      <c r="J18" s="27" t="s">
        <v>51</v>
      </c>
      <c r="K18" s="27" t="s">
        <v>18</v>
      </c>
      <c r="L18" s="27" t="s">
        <v>45</v>
      </c>
      <c r="M18" s="27" t="s">
        <v>48</v>
      </c>
      <c r="N18" s="27" t="s">
        <v>21</v>
      </c>
      <c r="O18" s="27" t="s">
        <v>53</v>
      </c>
      <c r="P18" s="27" t="s">
        <v>54</v>
      </c>
      <c r="Q18" s="2" t="s">
        <v>45</v>
      </c>
      <c r="R18" s="2" t="s">
        <v>48</v>
      </c>
      <c r="S18" s="2" t="s">
        <v>21</v>
      </c>
      <c r="T18" s="2" t="s">
        <v>53</v>
      </c>
      <c r="U18" s="2" t="s">
        <v>55</v>
      </c>
      <c r="V18" s="10" t="s">
        <v>56</v>
      </c>
      <c r="W18" s="2" t="s">
        <v>45</v>
      </c>
      <c r="X18" s="2" t="s">
        <v>48</v>
      </c>
      <c r="Y18" s="2" t="s">
        <v>21</v>
      </c>
      <c r="Z18" s="2" t="s">
        <v>53</v>
      </c>
      <c r="AA18" s="2" t="s">
        <v>55</v>
      </c>
      <c r="AB18" s="2" t="s">
        <v>30</v>
      </c>
      <c r="AC18" s="2" t="s">
        <v>45</v>
      </c>
      <c r="AD18" s="2" t="s">
        <v>48</v>
      </c>
      <c r="AE18" s="2" t="s">
        <v>21</v>
      </c>
      <c r="AF18" s="2" t="s">
        <v>53</v>
      </c>
      <c r="AG18" s="2" t="s">
        <v>55</v>
      </c>
      <c r="AH18" s="2" t="s">
        <v>45</v>
      </c>
      <c r="AI18" s="2" t="s">
        <v>48</v>
      </c>
      <c r="AJ18" s="2" t="s">
        <v>21</v>
      </c>
      <c r="AK18" s="2" t="s">
        <v>53</v>
      </c>
      <c r="AL18" s="2" t="s">
        <v>55</v>
      </c>
      <c r="AM18" s="1"/>
      <c r="AN18" s="1"/>
      <c r="AO18" s="2" t="s">
        <v>57</v>
      </c>
      <c r="AP18" s="1"/>
    </row>
    <row r="19" spans="1:43" s="23" customFormat="1">
      <c r="A19" s="18" t="s">
        <v>1</v>
      </c>
      <c r="B19" s="22">
        <v>697</v>
      </c>
      <c r="C19" s="19">
        <f>B19</f>
        <v>697</v>
      </c>
      <c r="D19" s="24">
        <v>1795.2</v>
      </c>
      <c r="E19" s="24">
        <v>1794.2</v>
      </c>
      <c r="F19" s="24">
        <v>2313.5</v>
      </c>
      <c r="G19" s="24">
        <v>183.2</v>
      </c>
      <c r="H19" s="24">
        <f>F19+G19</f>
        <v>2496.6999999999998</v>
      </c>
      <c r="I19" s="24">
        <f>D19+E19+H19</f>
        <v>6086.1</v>
      </c>
      <c r="J19" s="25"/>
      <c r="K19" s="24">
        <f>J27*C19</f>
        <v>1477.9312527261627</v>
      </c>
      <c r="L19" s="24">
        <v>0</v>
      </c>
      <c r="M19" s="24">
        <v>0</v>
      </c>
      <c r="N19" s="24">
        <f t="shared" ref="N19:N26" si="9">L19+M19</f>
        <v>0</v>
      </c>
      <c r="O19" s="25"/>
      <c r="P19" s="24">
        <f>O27*B19</f>
        <v>30.399123266160693</v>
      </c>
      <c r="Q19" s="24">
        <v>780.5</v>
      </c>
      <c r="R19" s="24">
        <v>609.1</v>
      </c>
      <c r="S19" s="24">
        <f t="shared" ref="S19:S27" si="10">Q19+R19</f>
        <v>1389.6</v>
      </c>
      <c r="T19" s="25"/>
      <c r="U19" s="26">
        <f>T27*B19</f>
        <v>129.46305286574196</v>
      </c>
      <c r="V19" s="22">
        <v>697</v>
      </c>
      <c r="W19" s="24">
        <v>58</v>
      </c>
      <c r="X19" s="24">
        <v>195.5</v>
      </c>
      <c r="Y19" s="24">
        <f t="shared" ref="Y19:Y26" si="11">W19+X19</f>
        <v>253.5</v>
      </c>
      <c r="Z19" s="18"/>
      <c r="AA19" s="21">
        <f>Z27*V19</f>
        <v>160.07651138445431</v>
      </c>
      <c r="AB19" s="18"/>
      <c r="AC19" s="24">
        <v>92.8</v>
      </c>
      <c r="AD19" s="24">
        <v>100</v>
      </c>
      <c r="AE19" s="20">
        <f t="shared" ref="AE19:AE27" si="12">AC19+AD19</f>
        <v>192.8</v>
      </c>
      <c r="AF19" s="18"/>
      <c r="AG19" s="21">
        <f>AF27*V19</f>
        <v>52.981850300968333</v>
      </c>
      <c r="AH19" s="18">
        <v>0</v>
      </c>
      <c r="AI19" s="18">
        <v>20.7</v>
      </c>
      <c r="AJ19" s="18">
        <f t="shared" ref="AJ19:AJ27" si="13">AH19+AI19</f>
        <v>20.7</v>
      </c>
      <c r="AK19" s="18"/>
      <c r="AL19" s="21">
        <f>AK27*B19</f>
        <v>4.1134127191834597</v>
      </c>
      <c r="AM19" s="18"/>
      <c r="AN19" s="18"/>
      <c r="AO19" s="20">
        <f t="shared" ref="AO19:AO26" si="14">K19+P19+U19+AA19+AG19+AL19</f>
        <v>1854.9652032626714</v>
      </c>
      <c r="AP19" s="18"/>
    </row>
    <row r="20" spans="1:43" s="23" customFormat="1">
      <c r="A20" s="18" t="s">
        <v>2</v>
      </c>
      <c r="B20" s="22">
        <v>820</v>
      </c>
      <c r="C20" s="19">
        <f t="shared" ref="C20:C26" si="15">B20</f>
        <v>820</v>
      </c>
      <c r="D20" s="24">
        <v>1776.9</v>
      </c>
      <c r="E20" s="24">
        <v>2274.6999999999998</v>
      </c>
      <c r="F20" s="24">
        <v>1634.2</v>
      </c>
      <c r="G20" s="24">
        <v>379.6</v>
      </c>
      <c r="H20" s="25">
        <f t="shared" ref="H20:H26" si="16">F20+G20</f>
        <v>2013.8000000000002</v>
      </c>
      <c r="I20" s="24">
        <f t="shared" ref="I20:I26" si="17">D20+E20+H20</f>
        <v>6065.4</v>
      </c>
      <c r="J20" s="25"/>
      <c r="K20" s="24">
        <f>J27*B20</f>
        <v>1738.7426502660737</v>
      </c>
      <c r="L20" s="24">
        <v>0</v>
      </c>
      <c r="M20" s="24">
        <v>0</v>
      </c>
      <c r="N20" s="24">
        <f t="shared" si="9"/>
        <v>0</v>
      </c>
      <c r="O20" s="25"/>
      <c r="P20" s="24">
        <f>O27*B20</f>
        <v>35.763674430777286</v>
      </c>
      <c r="Q20" s="24">
        <v>10</v>
      </c>
      <c r="R20" s="24">
        <v>0</v>
      </c>
      <c r="S20" s="24">
        <f t="shared" si="10"/>
        <v>10</v>
      </c>
      <c r="T20" s="25"/>
      <c r="U20" s="26">
        <f>T27*B20</f>
        <v>152.30947395969642</v>
      </c>
      <c r="V20" s="22">
        <v>820</v>
      </c>
      <c r="W20" s="24">
        <v>0</v>
      </c>
      <c r="X20" s="24">
        <v>0</v>
      </c>
      <c r="Y20" s="24">
        <f t="shared" si="11"/>
        <v>0</v>
      </c>
      <c r="Z20" s="18"/>
      <c r="AA20" s="21">
        <f>Z27*V20</f>
        <v>188.32530751112273</v>
      </c>
      <c r="AB20" s="18"/>
      <c r="AC20" s="24">
        <v>59.3</v>
      </c>
      <c r="AD20" s="24">
        <v>84.7</v>
      </c>
      <c r="AE20" s="20">
        <f t="shared" si="12"/>
        <v>144</v>
      </c>
      <c r="AF20" s="18"/>
      <c r="AG20" s="21">
        <f>AF27*V20</f>
        <v>62.331588589374505</v>
      </c>
      <c r="AH20" s="18">
        <v>0</v>
      </c>
      <c r="AI20" s="18">
        <v>0</v>
      </c>
      <c r="AJ20" s="18">
        <f t="shared" si="13"/>
        <v>0</v>
      </c>
      <c r="AK20" s="18"/>
      <c r="AL20" s="21">
        <f>AK27*B20</f>
        <v>4.8393090813923063</v>
      </c>
      <c r="AM20" s="18"/>
      <c r="AN20" s="18"/>
      <c r="AO20" s="20">
        <f t="shared" si="14"/>
        <v>2182.3120038384368</v>
      </c>
      <c r="AP20" s="18"/>
    </row>
    <row r="21" spans="1:43" s="23" customFormat="1">
      <c r="A21" s="18" t="s">
        <v>3</v>
      </c>
      <c r="B21" s="22">
        <v>417</v>
      </c>
      <c r="C21" s="19">
        <f t="shared" si="15"/>
        <v>417</v>
      </c>
      <c r="D21" s="24">
        <v>1413.3</v>
      </c>
      <c r="E21" s="24">
        <v>1169.0999999999999</v>
      </c>
      <c r="F21" s="24">
        <v>1035.0999999999999</v>
      </c>
      <c r="G21" s="24">
        <v>261.7</v>
      </c>
      <c r="H21" s="25">
        <f t="shared" si="16"/>
        <v>1296.8</v>
      </c>
      <c r="I21" s="24">
        <f t="shared" si="17"/>
        <v>3879.2</v>
      </c>
      <c r="J21" s="25"/>
      <c r="K21" s="24">
        <f>J27*B21</f>
        <v>884.21425019628384</v>
      </c>
      <c r="L21" s="24">
        <v>0</v>
      </c>
      <c r="M21" s="24">
        <v>0</v>
      </c>
      <c r="N21" s="24">
        <f t="shared" si="9"/>
        <v>0</v>
      </c>
      <c r="O21" s="25"/>
      <c r="P21" s="24">
        <f>O27*B21</f>
        <v>18.187136875163571</v>
      </c>
      <c r="Q21" s="24">
        <v>9.6999999999999993</v>
      </c>
      <c r="R21" s="24">
        <v>0</v>
      </c>
      <c r="S21" s="24">
        <f t="shared" si="10"/>
        <v>9.6999999999999993</v>
      </c>
      <c r="T21" s="25"/>
      <c r="U21" s="26">
        <f>T27*B21</f>
        <v>77.454939806333414</v>
      </c>
      <c r="V21" s="22">
        <v>417</v>
      </c>
      <c r="W21" s="24">
        <v>379.3</v>
      </c>
      <c r="X21" s="24">
        <v>307.5</v>
      </c>
      <c r="Y21" s="24">
        <f t="shared" si="11"/>
        <v>686.8</v>
      </c>
      <c r="Z21" s="18"/>
      <c r="AA21" s="21">
        <f>Z27*V21</f>
        <v>95.770308819680707</v>
      </c>
      <c r="AB21" s="18"/>
      <c r="AC21" s="24">
        <v>0</v>
      </c>
      <c r="AD21" s="24">
        <v>0</v>
      </c>
      <c r="AE21" s="20">
        <f t="shared" si="12"/>
        <v>0</v>
      </c>
      <c r="AF21" s="18"/>
      <c r="AG21" s="21">
        <f>AF27*V21</f>
        <v>31.69789322166972</v>
      </c>
      <c r="AH21" s="18">
        <v>0</v>
      </c>
      <c r="AI21" s="18">
        <v>0</v>
      </c>
      <c r="AJ21" s="18">
        <f t="shared" si="13"/>
        <v>0</v>
      </c>
      <c r="AK21" s="18"/>
      <c r="AL21" s="21">
        <f>AK27*B21</f>
        <v>2.4609657157812093</v>
      </c>
      <c r="AM21" s="18"/>
      <c r="AN21" s="18"/>
      <c r="AO21" s="20">
        <f t="shared" si="14"/>
        <v>1109.7854946349125</v>
      </c>
      <c r="AP21" s="18"/>
    </row>
    <row r="22" spans="1:43" s="23" customFormat="1">
      <c r="A22" s="18" t="s">
        <v>4</v>
      </c>
      <c r="B22" s="22">
        <v>453</v>
      </c>
      <c r="C22" s="19">
        <f t="shared" si="15"/>
        <v>453</v>
      </c>
      <c r="D22" s="24">
        <v>1573.8</v>
      </c>
      <c r="E22" s="24">
        <v>1528.4</v>
      </c>
      <c r="F22" s="24">
        <v>1342</v>
      </c>
      <c r="G22" s="24">
        <v>270.5</v>
      </c>
      <c r="H22" s="25">
        <f t="shared" si="16"/>
        <v>1612.5</v>
      </c>
      <c r="I22" s="24">
        <f>D22+E22+H22</f>
        <v>4714.7</v>
      </c>
      <c r="J22" s="25"/>
      <c r="K22" s="24">
        <f>J27*B22</f>
        <v>960.54929337869692</v>
      </c>
      <c r="L22" s="24">
        <v>0</v>
      </c>
      <c r="M22" s="24">
        <v>0</v>
      </c>
      <c r="N22" s="24">
        <f t="shared" si="9"/>
        <v>0</v>
      </c>
      <c r="O22" s="25"/>
      <c r="P22" s="24">
        <f>O27*B22</f>
        <v>19.757249411148916</v>
      </c>
      <c r="Q22" s="24">
        <v>228</v>
      </c>
      <c r="R22" s="24">
        <v>22.5</v>
      </c>
      <c r="S22" s="24">
        <f t="shared" si="10"/>
        <v>250.5</v>
      </c>
      <c r="T22" s="25"/>
      <c r="U22" s="26">
        <f>T27*B22</f>
        <v>84.14169719968595</v>
      </c>
      <c r="V22" s="22">
        <v>453</v>
      </c>
      <c r="W22" s="24">
        <v>0</v>
      </c>
      <c r="X22" s="24">
        <v>0</v>
      </c>
      <c r="Y22" s="24">
        <f t="shared" si="11"/>
        <v>0</v>
      </c>
      <c r="Z22" s="18"/>
      <c r="AA22" s="21">
        <f>Z27*V22</f>
        <v>104.03824914943731</v>
      </c>
      <c r="AB22" s="18"/>
      <c r="AC22" s="24">
        <v>0</v>
      </c>
      <c r="AD22" s="24">
        <v>0</v>
      </c>
      <c r="AE22" s="20">
        <f t="shared" si="12"/>
        <v>0</v>
      </c>
      <c r="AF22" s="18"/>
      <c r="AG22" s="21">
        <f>AF27*V22</f>
        <v>34.434401989008109</v>
      </c>
      <c r="AH22" s="18">
        <v>0</v>
      </c>
      <c r="AI22" s="18">
        <v>0</v>
      </c>
      <c r="AJ22" s="18">
        <f t="shared" si="13"/>
        <v>0</v>
      </c>
      <c r="AK22" s="18"/>
      <c r="AL22" s="21">
        <f>AK27*B22</f>
        <v>2.673423187647213</v>
      </c>
      <c r="AM22" s="18"/>
      <c r="AN22" s="18"/>
      <c r="AO22" s="20">
        <f t="shared" si="14"/>
        <v>1205.5943143156244</v>
      </c>
      <c r="AP22" s="18"/>
    </row>
    <row r="23" spans="1:43" s="23" customFormat="1">
      <c r="A23" s="18" t="s">
        <v>5</v>
      </c>
      <c r="B23" s="22">
        <v>455</v>
      </c>
      <c r="C23" s="19">
        <f t="shared" si="15"/>
        <v>455</v>
      </c>
      <c r="D23" s="24">
        <v>1162.5999999999999</v>
      </c>
      <c r="E23" s="24">
        <v>1041.9000000000001</v>
      </c>
      <c r="F23" s="24">
        <v>794.7</v>
      </c>
      <c r="G23" s="24">
        <v>334.7</v>
      </c>
      <c r="H23" s="25">
        <f t="shared" si="16"/>
        <v>1129.4000000000001</v>
      </c>
      <c r="I23" s="24">
        <f t="shared" si="17"/>
        <v>3333.9</v>
      </c>
      <c r="J23" s="25"/>
      <c r="K23" s="24">
        <f>J27*B23</f>
        <v>964.79012911105315</v>
      </c>
      <c r="L23" s="24">
        <v>0</v>
      </c>
      <c r="M23" s="24">
        <v>0</v>
      </c>
      <c r="N23" s="24">
        <f t="shared" si="9"/>
        <v>0</v>
      </c>
      <c r="O23" s="25"/>
      <c r="P23" s="24">
        <f>O27*B23</f>
        <v>19.844477885370324</v>
      </c>
      <c r="Q23" s="24">
        <v>0</v>
      </c>
      <c r="R23" s="24">
        <v>0</v>
      </c>
      <c r="S23" s="24">
        <f t="shared" si="10"/>
        <v>0</v>
      </c>
      <c r="T23" s="25"/>
      <c r="U23" s="26">
        <f>T27*B23</f>
        <v>84.513183721538866</v>
      </c>
      <c r="V23" s="22">
        <v>455</v>
      </c>
      <c r="W23" s="24">
        <v>419.3</v>
      </c>
      <c r="X23" s="24">
        <v>375.5</v>
      </c>
      <c r="Y23" s="24">
        <f t="shared" si="11"/>
        <v>794.8</v>
      </c>
      <c r="Z23" s="18"/>
      <c r="AA23" s="21">
        <f>Z27*V23</f>
        <v>104.49757916775712</v>
      </c>
      <c r="AB23" s="18"/>
      <c r="AC23" s="24">
        <v>119.3</v>
      </c>
      <c r="AD23" s="24">
        <v>64.099999999999994</v>
      </c>
      <c r="AE23" s="20">
        <f>AC23+AD23</f>
        <v>183.39999999999998</v>
      </c>
      <c r="AF23" s="18"/>
      <c r="AG23" s="21">
        <f>AF27*V23</f>
        <v>34.586430253860243</v>
      </c>
      <c r="AH23" s="18">
        <v>0</v>
      </c>
      <c r="AI23" s="18">
        <v>0</v>
      </c>
      <c r="AJ23" s="18">
        <f t="shared" si="13"/>
        <v>0</v>
      </c>
      <c r="AK23" s="18"/>
      <c r="AL23" s="21">
        <f>AK27*B23</f>
        <v>2.6852263805286576</v>
      </c>
      <c r="AM23" s="18"/>
      <c r="AN23" s="18"/>
      <c r="AO23" s="20">
        <f t="shared" si="14"/>
        <v>1210.9170265201083</v>
      </c>
      <c r="AP23" s="18"/>
    </row>
    <row r="24" spans="1:43" s="23" customFormat="1">
      <c r="A24" s="18" t="s">
        <v>6</v>
      </c>
      <c r="B24" s="22">
        <v>1043</v>
      </c>
      <c r="C24" s="19">
        <f t="shared" si="15"/>
        <v>1043</v>
      </c>
      <c r="D24" s="24">
        <v>1692.8</v>
      </c>
      <c r="E24" s="24">
        <v>1645.1</v>
      </c>
      <c r="F24" s="24">
        <v>1633.2</v>
      </c>
      <c r="G24" s="24">
        <v>264.8</v>
      </c>
      <c r="H24" s="25">
        <f t="shared" si="16"/>
        <v>1898</v>
      </c>
      <c r="I24" s="24">
        <f t="shared" si="17"/>
        <v>5235.8999999999996</v>
      </c>
      <c r="J24" s="25"/>
      <c r="K24" s="24">
        <f>J27*B24</f>
        <v>2211.5958344237988</v>
      </c>
      <c r="L24" s="24">
        <v>0</v>
      </c>
      <c r="M24" s="24">
        <v>0</v>
      </c>
      <c r="N24" s="24">
        <f t="shared" si="9"/>
        <v>0</v>
      </c>
      <c r="O24" s="25"/>
      <c r="P24" s="24">
        <f>O27*B24</f>
        <v>45.48964930646428</v>
      </c>
      <c r="Q24" s="24">
        <v>15.1</v>
      </c>
      <c r="R24" s="24">
        <v>6.6</v>
      </c>
      <c r="S24" s="24">
        <f t="shared" si="10"/>
        <v>21.7</v>
      </c>
      <c r="T24" s="25"/>
      <c r="U24" s="26">
        <f>T27*B24</f>
        <v>193.73022114629677</v>
      </c>
      <c r="V24" s="22">
        <v>1043</v>
      </c>
      <c r="W24" s="24">
        <v>718.9</v>
      </c>
      <c r="X24" s="24">
        <v>701.8</v>
      </c>
      <c r="Y24" s="24">
        <f t="shared" si="11"/>
        <v>1420.6999999999998</v>
      </c>
      <c r="Z24" s="18"/>
      <c r="AA24" s="21">
        <f>Z27*V24</f>
        <v>239.54060455378172</v>
      </c>
      <c r="AB24" s="18"/>
      <c r="AC24" s="24">
        <v>106.2</v>
      </c>
      <c r="AD24" s="24">
        <v>80</v>
      </c>
      <c r="AE24" s="20">
        <f t="shared" si="12"/>
        <v>186.2</v>
      </c>
      <c r="AF24" s="18"/>
      <c r="AG24" s="21">
        <f>AF27*V24</f>
        <v>79.282740120387331</v>
      </c>
      <c r="AH24" s="18">
        <v>0</v>
      </c>
      <c r="AI24" s="18">
        <v>0</v>
      </c>
      <c r="AJ24" s="18">
        <f t="shared" si="13"/>
        <v>0</v>
      </c>
      <c r="AK24" s="18"/>
      <c r="AL24" s="21">
        <f>AK27*B24</f>
        <v>6.1553650876733847</v>
      </c>
      <c r="AM24" s="18"/>
      <c r="AN24" s="18"/>
      <c r="AO24" s="20">
        <f t="shared" si="14"/>
        <v>2775.794414638402</v>
      </c>
      <c r="AP24" s="18"/>
    </row>
    <row r="25" spans="1:43" s="23" customFormat="1">
      <c r="A25" s="18" t="s">
        <v>7</v>
      </c>
      <c r="B25" s="22">
        <v>511</v>
      </c>
      <c r="C25" s="19">
        <f t="shared" si="15"/>
        <v>511</v>
      </c>
      <c r="D25" s="24">
        <v>1642.5</v>
      </c>
      <c r="E25" s="24">
        <v>2896</v>
      </c>
      <c r="F25" s="24">
        <v>2826.2</v>
      </c>
      <c r="G25" s="24">
        <v>432.4</v>
      </c>
      <c r="H25" s="24">
        <f>F25+G25</f>
        <v>3258.6</v>
      </c>
      <c r="I25" s="24">
        <f>D25+E25+H25</f>
        <v>7797.1</v>
      </c>
      <c r="J25" s="25"/>
      <c r="K25" s="24">
        <f>J27*B25</f>
        <v>1083.533529617029</v>
      </c>
      <c r="L25" s="24">
        <v>20.2</v>
      </c>
      <c r="M25" s="24">
        <v>0</v>
      </c>
      <c r="N25" s="24">
        <f t="shared" si="9"/>
        <v>20.2</v>
      </c>
      <c r="O25" s="25"/>
      <c r="P25" s="24">
        <f>O27*B25</f>
        <v>22.28687516356975</v>
      </c>
      <c r="Q25" s="24">
        <v>0</v>
      </c>
      <c r="R25" s="24">
        <v>35.9</v>
      </c>
      <c r="S25" s="24">
        <f t="shared" si="10"/>
        <v>35.9</v>
      </c>
      <c r="T25" s="25"/>
      <c r="U25" s="26">
        <f>T27*B25</f>
        <v>94.914806333420572</v>
      </c>
      <c r="V25" s="22">
        <v>511</v>
      </c>
      <c r="W25" s="24">
        <v>0</v>
      </c>
      <c r="X25" s="24">
        <v>0</v>
      </c>
      <c r="Y25" s="24">
        <f t="shared" si="11"/>
        <v>0</v>
      </c>
      <c r="Z25" s="18"/>
      <c r="AA25" s="21">
        <f>Z27*V25</f>
        <v>117.35881968071185</v>
      </c>
      <c r="AB25" s="18"/>
      <c r="AC25" s="24">
        <v>47.9</v>
      </c>
      <c r="AD25" s="24">
        <v>86.6</v>
      </c>
      <c r="AE25" s="20">
        <f t="shared" si="12"/>
        <v>134.5</v>
      </c>
      <c r="AF25" s="18"/>
      <c r="AG25" s="21">
        <f>AF27*V25</f>
        <v>38.843221669719966</v>
      </c>
      <c r="AH25" s="18">
        <v>0</v>
      </c>
      <c r="AI25" s="18">
        <v>0</v>
      </c>
      <c r="AJ25" s="18">
        <f t="shared" si="13"/>
        <v>0</v>
      </c>
      <c r="AK25" s="18"/>
      <c r="AL25" s="21">
        <f>AK27*B25</f>
        <v>3.0157157812091078</v>
      </c>
      <c r="AM25" s="18"/>
      <c r="AN25" s="18"/>
      <c r="AO25" s="20">
        <f t="shared" si="14"/>
        <v>1359.95296824566</v>
      </c>
      <c r="AP25" s="18"/>
    </row>
    <row r="26" spans="1:43" s="23" customFormat="1">
      <c r="A26" s="18" t="s">
        <v>8</v>
      </c>
      <c r="B26" s="22">
        <v>3246</v>
      </c>
      <c r="C26" s="19">
        <f t="shared" si="15"/>
        <v>3246</v>
      </c>
      <c r="D26" s="24">
        <v>3367</v>
      </c>
      <c r="E26" s="25">
        <v>3800.1</v>
      </c>
      <c r="F26" s="24">
        <v>3317</v>
      </c>
      <c r="G26" s="25">
        <v>1016.3</v>
      </c>
      <c r="H26" s="25">
        <f t="shared" si="16"/>
        <v>4333.3</v>
      </c>
      <c r="I26" s="24">
        <f t="shared" si="17"/>
        <v>11500.400000000001</v>
      </c>
      <c r="J26" s="25"/>
      <c r="K26" s="24">
        <f>I26/3</f>
        <v>3833.4666666666672</v>
      </c>
      <c r="L26" s="24">
        <v>62</v>
      </c>
      <c r="M26" s="24">
        <v>584.4</v>
      </c>
      <c r="N26" s="24">
        <f t="shared" si="9"/>
        <v>646.4</v>
      </c>
      <c r="O26" s="25"/>
      <c r="P26" s="24">
        <f>O27*B26</f>
        <v>141.5718136613452</v>
      </c>
      <c r="Q26" s="24">
        <v>777.6</v>
      </c>
      <c r="R26" s="24">
        <v>343.9</v>
      </c>
      <c r="S26" s="24">
        <f t="shared" si="10"/>
        <v>1121.5</v>
      </c>
      <c r="T26" s="25"/>
      <c r="U26" s="26">
        <f>T27*B26</f>
        <v>602.92262496728608</v>
      </c>
      <c r="V26" s="22">
        <v>3246</v>
      </c>
      <c r="W26" s="24">
        <v>190.4</v>
      </c>
      <c r="X26" s="24">
        <v>164</v>
      </c>
      <c r="Y26" s="24">
        <f t="shared" si="11"/>
        <v>354.4</v>
      </c>
      <c r="Z26" s="18"/>
      <c r="AA26" s="21">
        <f>Z27*V26</f>
        <v>745.49261973305408</v>
      </c>
      <c r="AB26" s="18"/>
      <c r="AC26" s="24">
        <v>155.30000000000001</v>
      </c>
      <c r="AD26" s="24">
        <v>165.6</v>
      </c>
      <c r="AE26" s="20">
        <f t="shared" si="12"/>
        <v>320.89999999999998</v>
      </c>
      <c r="AF26" s="18"/>
      <c r="AG26" s="21">
        <f>AF27*V26</f>
        <v>246.74187385501176</v>
      </c>
      <c r="AH26" s="18">
        <v>41.2</v>
      </c>
      <c r="AI26" s="18">
        <v>28.3</v>
      </c>
      <c r="AJ26" s="18">
        <f t="shared" si="13"/>
        <v>69.5</v>
      </c>
      <c r="AK26" s="18"/>
      <c r="AL26" s="21">
        <f>AK27*B26</f>
        <v>19.156582046584663</v>
      </c>
      <c r="AM26" s="18"/>
      <c r="AN26" s="18"/>
      <c r="AO26" s="20">
        <f t="shared" si="14"/>
        <v>5589.3521809299491</v>
      </c>
      <c r="AP26" s="18"/>
    </row>
    <row r="27" spans="1:43" s="9" customFormat="1">
      <c r="A27" s="8" t="s">
        <v>9</v>
      </c>
      <c r="B27" s="8">
        <f>SUM(B19:B26)</f>
        <v>7642</v>
      </c>
      <c r="C27" s="8">
        <f t="shared" ref="C27:I27" si="18">SUM(C19:C26)</f>
        <v>7642</v>
      </c>
      <c r="D27" s="8">
        <f t="shared" si="18"/>
        <v>14424.1</v>
      </c>
      <c r="E27" s="8">
        <f t="shared" si="18"/>
        <v>16149.5</v>
      </c>
      <c r="F27" s="8">
        <f t="shared" si="18"/>
        <v>14895.899999999998</v>
      </c>
      <c r="G27" s="8">
        <f t="shared" si="18"/>
        <v>3143.2</v>
      </c>
      <c r="H27" s="8">
        <f t="shared" si="18"/>
        <v>18039.100000000002</v>
      </c>
      <c r="I27" s="13">
        <f t="shared" si="18"/>
        <v>48612.700000000004</v>
      </c>
      <c r="J27" s="8">
        <f>I27/3/C27</f>
        <v>2.1204178661781388</v>
      </c>
      <c r="K27" s="13">
        <f>SUM(K19:K26)</f>
        <v>13154.823606385764</v>
      </c>
      <c r="L27" s="13">
        <f>SUM(L19:L26)</f>
        <v>82.2</v>
      </c>
      <c r="M27" s="13">
        <f>SUM(M19:M26)</f>
        <v>584.4</v>
      </c>
      <c r="N27" s="13">
        <f>SUM(N19:N26)</f>
        <v>666.6</v>
      </c>
      <c r="O27" s="8">
        <f>N27/2/B27</f>
        <v>4.3614237110704009E-2</v>
      </c>
      <c r="P27" s="13">
        <f>SUM(P19:P26)</f>
        <v>333.30000000000007</v>
      </c>
      <c r="Q27" s="13">
        <f>SUM(Q19:Q26)</f>
        <v>1820.9</v>
      </c>
      <c r="R27" s="13">
        <f>SUM(R19:R26)</f>
        <v>1018</v>
      </c>
      <c r="S27" s="13">
        <f t="shared" si="10"/>
        <v>2838.9</v>
      </c>
      <c r="T27" s="8">
        <f>S27/2/B27</f>
        <v>0.18574326092645904</v>
      </c>
      <c r="U27" s="16">
        <f>SUM(U19:U26)</f>
        <v>1419.45</v>
      </c>
      <c r="V27" s="8">
        <f>SUM(V19:V26)</f>
        <v>7642</v>
      </c>
      <c r="W27" s="13">
        <f>SUM(W19:W26)</f>
        <v>1765.9</v>
      </c>
      <c r="X27" s="13">
        <f>SUM(X19:X26)</f>
        <v>1744.3</v>
      </c>
      <c r="Y27" s="13">
        <f>SUM(Y19:Y26)</f>
        <v>3510.2</v>
      </c>
      <c r="Z27" s="8">
        <f>Y27/2/V27</f>
        <v>0.22966500915990576</v>
      </c>
      <c r="AA27" s="16">
        <f>SUM(AA19:AA26)</f>
        <v>1755.0999999999997</v>
      </c>
      <c r="AB27" s="8"/>
      <c r="AC27" s="13">
        <f>SUM(AC19:AC26)</f>
        <v>580.79999999999995</v>
      </c>
      <c r="AD27" s="13">
        <f>SUM(AD19:AD26)</f>
        <v>581</v>
      </c>
      <c r="AE27" s="13">
        <f t="shared" si="12"/>
        <v>1161.8</v>
      </c>
      <c r="AF27" s="8">
        <f>AE27/2/B27</f>
        <v>7.6014132426066472E-2</v>
      </c>
      <c r="AG27" s="16">
        <f>SUM(AG19:AG26)</f>
        <v>580.9</v>
      </c>
      <c r="AH27" s="8">
        <f>SUM(AH19:AH26)</f>
        <v>41.2</v>
      </c>
      <c r="AI27" s="8">
        <f>SUM(AI19:AI26)</f>
        <v>49</v>
      </c>
      <c r="AJ27" s="8">
        <f t="shared" si="13"/>
        <v>90.2</v>
      </c>
      <c r="AK27" s="8">
        <f>AJ27/2/B27</f>
        <v>5.9015964407223244E-3</v>
      </c>
      <c r="AL27" s="16">
        <f>SUM(AL19:AL26)</f>
        <v>45.1</v>
      </c>
      <c r="AM27" s="8"/>
      <c r="AN27" s="8"/>
      <c r="AO27" s="13">
        <f>SUM(AO19:AO26)</f>
        <v>17288.673606385764</v>
      </c>
      <c r="AP27" s="8">
        <f>SUM(AP19:AP26)</f>
        <v>0</v>
      </c>
      <c r="AQ27" s="9">
        <f>SUM(AQ19:AQ26)</f>
        <v>0</v>
      </c>
    </row>
    <row r="28" spans="1:43" hidden="1">
      <c r="A28" s="3" t="s">
        <v>8</v>
      </c>
      <c r="B28" s="12">
        <v>3267</v>
      </c>
      <c r="C28" s="9">
        <f>B28</f>
        <v>3267</v>
      </c>
      <c r="D28" s="11" t="s">
        <v>46</v>
      </c>
      <c r="E28" s="11" t="s">
        <v>46</v>
      </c>
      <c r="F28" s="3">
        <v>2836.8</v>
      </c>
      <c r="G28" s="3">
        <v>233.5</v>
      </c>
      <c r="H28" s="3">
        <f>G28+F28</f>
        <v>3070.3</v>
      </c>
      <c r="I28" s="3" t="e">
        <f>H28+E28+D28</f>
        <v>#VALUE!</v>
      </c>
      <c r="J28" t="e">
        <f>I28/3/C28</f>
        <v>#VALUE!</v>
      </c>
      <c r="K28" s="14" t="e">
        <f>J28*C28</f>
        <v>#VALUE!</v>
      </c>
    </row>
    <row r="29" spans="1:43">
      <c r="D29" s="17"/>
      <c r="E29" s="17"/>
    </row>
    <row r="32" spans="1:43" hidden="1">
      <c r="A32" s="1"/>
      <c r="B32" s="1"/>
      <c r="C32" s="1"/>
      <c r="D32" s="30" t="s">
        <v>11</v>
      </c>
      <c r="E32" s="30"/>
      <c r="F32" s="30"/>
      <c r="G32" s="30"/>
      <c r="H32" s="30"/>
      <c r="I32" s="30"/>
      <c r="J32" s="30"/>
      <c r="K32" s="30"/>
      <c r="L32" s="31" t="s">
        <v>19</v>
      </c>
      <c r="M32" s="32"/>
      <c r="N32" s="32"/>
      <c r="O32" s="32"/>
      <c r="P32" s="33"/>
      <c r="Q32" s="30" t="s">
        <v>20</v>
      </c>
      <c r="R32" s="30"/>
      <c r="S32" s="30"/>
      <c r="T32" s="30"/>
      <c r="U32" s="30"/>
      <c r="V32" s="4"/>
      <c r="W32" s="30" t="s">
        <v>25</v>
      </c>
      <c r="X32" s="30"/>
      <c r="Y32" s="30"/>
      <c r="Z32" s="30"/>
      <c r="AA32" s="30"/>
      <c r="AB32" s="4"/>
      <c r="AC32" s="30" t="s">
        <v>26</v>
      </c>
      <c r="AD32" s="30"/>
      <c r="AE32" s="30"/>
      <c r="AF32" s="30"/>
      <c r="AG32" s="30"/>
      <c r="AH32" s="30" t="s">
        <v>27</v>
      </c>
      <c r="AI32" s="30"/>
      <c r="AJ32" s="30"/>
      <c r="AK32" s="30"/>
      <c r="AL32" s="30"/>
      <c r="AM32" s="1"/>
      <c r="AN32" s="1"/>
      <c r="AO32" s="1"/>
      <c r="AP32" s="1"/>
    </row>
    <row r="33" spans="1:42" hidden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1"/>
      <c r="AN33" s="1"/>
      <c r="AO33" s="2"/>
      <c r="AP33" s="1"/>
    </row>
    <row r="34" spans="1:42" hidden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idden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idden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idden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idden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idden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idden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idden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5"/>
      <c r="M43" s="6"/>
      <c r="N43" s="6"/>
      <c r="O43" s="6"/>
      <c r="P43" s="7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idden="1">
      <c r="A44" s="1"/>
      <c r="B44" s="1"/>
      <c r="C44" s="1"/>
      <c r="D44" s="30"/>
      <c r="E44" s="30"/>
      <c r="F44" s="30"/>
      <c r="G44" s="30"/>
      <c r="H44" s="30"/>
      <c r="I44" s="30"/>
      <c r="J44" s="30"/>
      <c r="K44" s="30"/>
      <c r="L44" s="31"/>
      <c r="M44" s="32"/>
      <c r="N44" s="32"/>
      <c r="O44" s="32"/>
      <c r="P44" s="33"/>
      <c r="Q44" s="30"/>
      <c r="R44" s="30"/>
      <c r="S44" s="30"/>
      <c r="T44" s="30"/>
      <c r="U44" s="30"/>
      <c r="V44" s="4"/>
      <c r="W44" s="30"/>
      <c r="X44" s="30"/>
      <c r="Y44" s="30"/>
      <c r="Z44" s="30"/>
      <c r="AA44" s="30"/>
      <c r="AB44" s="4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1"/>
      <c r="AN44" s="1"/>
      <c r="AO44" s="1"/>
      <c r="AP44" s="1"/>
    </row>
    <row r="45" spans="1:42" hidden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1"/>
      <c r="AN45" s="1"/>
      <c r="AO45" s="2"/>
      <c r="AP45" s="1"/>
    </row>
    <row r="46" spans="1:42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idden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idden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idden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idden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idden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idden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hidden="1">
      <c r="A55" s="1"/>
      <c r="B55" s="1"/>
      <c r="C55" s="1"/>
      <c r="D55" s="30"/>
      <c r="E55" s="30"/>
      <c r="F55" s="30"/>
      <c r="G55" s="30"/>
      <c r="H55" s="30"/>
      <c r="I55" s="30"/>
      <c r="J55" s="30"/>
      <c r="K55" s="30"/>
      <c r="L55" s="31"/>
      <c r="M55" s="32"/>
      <c r="N55" s="32"/>
      <c r="O55" s="32"/>
      <c r="P55" s="33"/>
      <c r="Q55" s="30"/>
      <c r="R55" s="30"/>
      <c r="S55" s="30"/>
      <c r="T55" s="30"/>
      <c r="U55" s="30"/>
      <c r="V55" s="4"/>
      <c r="W55" s="30"/>
      <c r="X55" s="30"/>
      <c r="Y55" s="30"/>
      <c r="Z55" s="30"/>
      <c r="AA55" s="30"/>
      <c r="AB55" s="4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1"/>
      <c r="AN55" s="1"/>
      <c r="AO55" s="1"/>
      <c r="AP55" s="1"/>
    </row>
    <row r="56" spans="1:42" hidden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1"/>
      <c r="AN56" s="1"/>
      <c r="AO56" s="2"/>
      <c r="AP56" s="1"/>
    </row>
    <row r="57" spans="1:42" hidden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hidden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hidden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hidden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hidden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hidden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hidden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hidden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hidden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hidden="1">
      <c r="A66" s="1"/>
      <c r="B66" s="1"/>
      <c r="C66" s="1"/>
      <c r="D66" s="30"/>
      <c r="E66" s="30"/>
      <c r="F66" s="30"/>
      <c r="G66" s="30"/>
      <c r="H66" s="30"/>
      <c r="I66" s="30"/>
      <c r="J66" s="30"/>
      <c r="K66" s="30"/>
      <c r="L66" s="31"/>
      <c r="M66" s="32"/>
      <c r="N66" s="32"/>
      <c r="O66" s="32"/>
      <c r="P66" s="33"/>
      <c r="Q66" s="30"/>
      <c r="R66" s="30"/>
      <c r="S66" s="30"/>
      <c r="T66" s="30"/>
      <c r="U66" s="30"/>
      <c r="V66" s="4"/>
      <c r="W66" s="30"/>
      <c r="X66" s="30"/>
      <c r="Y66" s="30"/>
      <c r="Z66" s="30"/>
      <c r="AA66" s="30"/>
      <c r="AB66" s="4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1"/>
      <c r="AN66" s="1"/>
      <c r="AO66" s="1"/>
      <c r="AP66" s="1"/>
    </row>
    <row r="67" spans="1:42" hidden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1"/>
      <c r="AN67" s="1"/>
      <c r="AO67" s="2"/>
      <c r="AP67" s="1"/>
    </row>
    <row r="68" spans="1:42" hidden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hidden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hidden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hidden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hidden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hidden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hidden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hidden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hidden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hidden="1">
      <c r="A77" s="1"/>
      <c r="B77" s="1"/>
      <c r="C77" s="1"/>
      <c r="D77" s="30"/>
      <c r="E77" s="30"/>
      <c r="F77" s="30"/>
      <c r="G77" s="30"/>
      <c r="H77" s="30"/>
      <c r="I77" s="30"/>
      <c r="J77" s="30"/>
      <c r="K77" s="30"/>
      <c r="L77" s="31"/>
      <c r="M77" s="32"/>
      <c r="N77" s="32"/>
      <c r="O77" s="32"/>
      <c r="P77" s="33"/>
      <c r="Q77" s="30"/>
      <c r="R77" s="30"/>
      <c r="S77" s="30"/>
      <c r="T77" s="30"/>
      <c r="U77" s="30"/>
      <c r="V77" s="4"/>
      <c r="W77" s="30"/>
      <c r="X77" s="30"/>
      <c r="Y77" s="30"/>
      <c r="Z77" s="30"/>
      <c r="AA77" s="30"/>
      <c r="AB77" s="4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1"/>
      <c r="AN77" s="1"/>
      <c r="AO77" s="1"/>
      <c r="AP77" s="1"/>
    </row>
    <row r="78" spans="1:42" hidden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1"/>
      <c r="AN78" s="1"/>
      <c r="AO78" s="2"/>
      <c r="AP78" s="1"/>
    </row>
    <row r="79" spans="1:42" hidden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hidden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hidden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hidden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idden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idden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idden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idden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hidden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hidden="1">
      <c r="A88" s="1"/>
      <c r="B88" s="1"/>
      <c r="C88" s="1"/>
      <c r="D88" s="30"/>
      <c r="E88" s="30"/>
      <c r="F88" s="30"/>
      <c r="G88" s="30"/>
      <c r="H88" s="30"/>
      <c r="I88" s="30"/>
      <c r="J88" s="30"/>
      <c r="K88" s="30"/>
      <c r="L88" s="31"/>
      <c r="M88" s="32"/>
      <c r="N88" s="32"/>
      <c r="O88" s="32"/>
      <c r="P88" s="33"/>
      <c r="Q88" s="30"/>
      <c r="R88" s="30"/>
      <c r="S88" s="30"/>
      <c r="T88" s="30"/>
      <c r="U88" s="30"/>
      <c r="V88" s="4"/>
      <c r="W88" s="30"/>
      <c r="X88" s="30"/>
      <c r="Y88" s="30"/>
      <c r="Z88" s="30"/>
      <c r="AA88" s="30"/>
      <c r="AB88" s="4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1"/>
      <c r="AN88" s="1"/>
      <c r="AO88" s="1"/>
      <c r="AP88" s="1"/>
    </row>
    <row r="89" spans="1:42" hidden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1"/>
      <c r="AN89" s="1"/>
      <c r="AO89" s="2"/>
      <c r="AP89" s="1"/>
    </row>
    <row r="90" spans="1:42" hidden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hidden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hidden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hidden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hidden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hidden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hidden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hidden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hidden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spans="1:42" hidden="1">
      <c r="A99" s="1"/>
      <c r="B99" s="1"/>
      <c r="C99" s="1"/>
      <c r="D99" s="30"/>
      <c r="E99" s="30"/>
      <c r="F99" s="30"/>
      <c r="G99" s="30"/>
      <c r="H99" s="30"/>
      <c r="I99" s="30"/>
      <c r="J99" s="30"/>
      <c r="K99" s="30"/>
      <c r="L99" s="31"/>
      <c r="M99" s="32"/>
      <c r="N99" s="32"/>
      <c r="O99" s="32"/>
      <c r="P99" s="33"/>
      <c r="Q99" s="30"/>
      <c r="R99" s="30"/>
      <c r="S99" s="30"/>
      <c r="T99" s="30"/>
      <c r="U99" s="30"/>
      <c r="V99" s="4"/>
      <c r="W99" s="30"/>
      <c r="X99" s="30"/>
      <c r="Y99" s="30"/>
      <c r="Z99" s="30"/>
      <c r="AA99" s="30"/>
      <c r="AB99" s="4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1"/>
      <c r="AN99" s="1"/>
      <c r="AO99" s="1"/>
      <c r="AP99" s="1"/>
    </row>
    <row r="100" spans="1:42" hidden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1"/>
      <c r="AN100" s="1"/>
      <c r="AO100" s="2"/>
      <c r="AP100" s="1"/>
    </row>
    <row r="101" spans="1:42" hidden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spans="1:42" hidden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spans="1:42" hidden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1:42" hidden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spans="1:42" hidden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spans="1:42" hidden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hidden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1:42" hidden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hidden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hidden="1">
      <c r="A110" s="1"/>
      <c r="B110" s="1"/>
      <c r="C110" s="1"/>
      <c r="D110" s="30"/>
      <c r="E110" s="30"/>
      <c r="F110" s="30"/>
      <c r="G110" s="30"/>
      <c r="H110" s="30"/>
      <c r="I110" s="30"/>
      <c r="J110" s="30"/>
      <c r="K110" s="30"/>
      <c r="L110" s="31"/>
      <c r="M110" s="32"/>
      <c r="N110" s="32"/>
      <c r="O110" s="32"/>
      <c r="P110" s="33"/>
      <c r="Q110" s="30"/>
      <c r="R110" s="30"/>
      <c r="S110" s="30"/>
      <c r="T110" s="30"/>
      <c r="U110" s="30"/>
      <c r="V110" s="4"/>
      <c r="W110" s="30"/>
      <c r="X110" s="30"/>
      <c r="Y110" s="30"/>
      <c r="Z110" s="30"/>
      <c r="AA110" s="30"/>
      <c r="AB110" s="4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1"/>
      <c r="AN110" s="1"/>
      <c r="AO110" s="1"/>
      <c r="AP110" s="1"/>
    </row>
    <row r="111" spans="1:42" hidden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1"/>
      <c r="AN111" s="1"/>
      <c r="AO111" s="2"/>
      <c r="AP111" s="1"/>
    </row>
    <row r="112" spans="1:42" hidden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1:42" hidden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1:42" hidden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1:42" hidden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1:42" hidden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1:42" hidden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1:42" hidden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spans="1:42" hidden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spans="1:42" hidden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spans="1:42" hidden="1">
      <c r="A121" s="1"/>
      <c r="B121" s="1"/>
      <c r="C121" s="1"/>
      <c r="D121" s="30"/>
      <c r="E121" s="30"/>
      <c r="F121" s="30"/>
      <c r="G121" s="30"/>
      <c r="H121" s="30"/>
      <c r="I121" s="30"/>
      <c r="J121" s="30"/>
      <c r="K121" s="30"/>
      <c r="L121" s="31"/>
      <c r="M121" s="32"/>
      <c r="N121" s="32"/>
      <c r="O121" s="32"/>
      <c r="P121" s="33"/>
      <c r="Q121" s="30"/>
      <c r="R121" s="30"/>
      <c r="S121" s="30"/>
      <c r="T121" s="30"/>
      <c r="U121" s="30"/>
      <c r="V121" s="4"/>
      <c r="W121" s="30"/>
      <c r="X121" s="30"/>
      <c r="Y121" s="30"/>
      <c r="Z121" s="30"/>
      <c r="AA121" s="30"/>
      <c r="AB121" s="4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1"/>
      <c r="AN121" s="1"/>
      <c r="AO121" s="1"/>
      <c r="AP121" s="1"/>
    </row>
    <row r="122" spans="1:42" hidden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1"/>
      <c r="AN122" s="1"/>
      <c r="AO122" s="2"/>
      <c r="AP122" s="1"/>
    </row>
    <row r="123" spans="1:42" hidden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spans="1:42" hidden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spans="1:42" hidden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spans="1:42" hidden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spans="1:42" hidden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spans="1:42" hidden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spans="1:42" hidden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spans="1:42" hidden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spans="1:42" hidden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spans="1:42" hidden="1">
      <c r="A132" s="1"/>
      <c r="B132" s="1"/>
      <c r="C132" s="1"/>
      <c r="D132" s="30"/>
      <c r="E132" s="30"/>
      <c r="F132" s="30"/>
      <c r="G132" s="30"/>
      <c r="H132" s="30"/>
      <c r="I132" s="30"/>
      <c r="J132" s="30"/>
      <c r="K132" s="30"/>
      <c r="L132" s="31"/>
      <c r="M132" s="32"/>
      <c r="N132" s="32"/>
      <c r="O132" s="32"/>
      <c r="P132" s="33"/>
      <c r="Q132" s="30"/>
      <c r="R132" s="30"/>
      <c r="S132" s="30"/>
      <c r="T132" s="30"/>
      <c r="U132" s="30"/>
      <c r="V132" s="4"/>
      <c r="W132" s="30"/>
      <c r="X132" s="30"/>
      <c r="Y132" s="30"/>
      <c r="Z132" s="30"/>
      <c r="AA132" s="30"/>
      <c r="AB132" s="4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1"/>
      <c r="AN132" s="1"/>
      <c r="AO132" s="1"/>
      <c r="AP132" s="1"/>
    </row>
    <row r="133" spans="1:42" hidden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1"/>
      <c r="AN133" s="1"/>
      <c r="AO133" s="2"/>
      <c r="AP133" s="1"/>
    </row>
    <row r="134" spans="1:42" hidden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spans="1:42" hidden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spans="1:42" hidden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spans="1:42" hidden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spans="1:42" hidden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1:42" hidden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1:42" hidden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1:42" hidden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1:42" hidden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</sheetData>
  <mergeCells count="72">
    <mergeCell ref="D132:K132"/>
    <mergeCell ref="L132:P132"/>
    <mergeCell ref="Q132:U132"/>
    <mergeCell ref="W132:AA132"/>
    <mergeCell ref="AC132:AG132"/>
    <mergeCell ref="AH132:AL132"/>
    <mergeCell ref="D121:K121"/>
    <mergeCell ref="L121:P121"/>
    <mergeCell ref="Q121:U121"/>
    <mergeCell ref="W121:AA121"/>
    <mergeCell ref="AC121:AG121"/>
    <mergeCell ref="AH121:AL121"/>
    <mergeCell ref="D110:K110"/>
    <mergeCell ref="L110:P110"/>
    <mergeCell ref="Q110:U110"/>
    <mergeCell ref="W110:AA110"/>
    <mergeCell ref="AC110:AG110"/>
    <mergeCell ref="AH110:AL110"/>
    <mergeCell ref="D99:K99"/>
    <mergeCell ref="L99:P99"/>
    <mergeCell ref="Q99:U99"/>
    <mergeCell ref="W99:AA99"/>
    <mergeCell ref="AC99:AG99"/>
    <mergeCell ref="AH99:AL99"/>
    <mergeCell ref="D88:K88"/>
    <mergeCell ref="L88:P88"/>
    <mergeCell ref="Q88:U88"/>
    <mergeCell ref="W88:AA88"/>
    <mergeCell ref="AC88:AG88"/>
    <mergeCell ref="AH88:AL88"/>
    <mergeCell ref="D77:K77"/>
    <mergeCell ref="L77:P77"/>
    <mergeCell ref="Q77:U77"/>
    <mergeCell ref="W77:AA77"/>
    <mergeCell ref="AC77:AG77"/>
    <mergeCell ref="AH77:AL77"/>
    <mergeCell ref="D66:K66"/>
    <mergeCell ref="L66:P66"/>
    <mergeCell ref="Q66:U66"/>
    <mergeCell ref="W66:AA66"/>
    <mergeCell ref="AC66:AG66"/>
    <mergeCell ref="AH66:AL66"/>
    <mergeCell ref="D55:K55"/>
    <mergeCell ref="L55:P55"/>
    <mergeCell ref="Q55:U55"/>
    <mergeCell ref="W55:AA55"/>
    <mergeCell ref="AC55:AG55"/>
    <mergeCell ref="AH55:AL55"/>
    <mergeCell ref="D44:K44"/>
    <mergeCell ref="L44:P44"/>
    <mergeCell ref="Q44:U44"/>
    <mergeCell ref="W44:AA44"/>
    <mergeCell ref="AC44:AG44"/>
    <mergeCell ref="AH44:AL44"/>
    <mergeCell ref="D32:K32"/>
    <mergeCell ref="L32:P32"/>
    <mergeCell ref="Q32:U32"/>
    <mergeCell ref="W32:AA32"/>
    <mergeCell ref="AC32:AG32"/>
    <mergeCell ref="AH32:AL32"/>
    <mergeCell ref="D17:K17"/>
    <mergeCell ref="L17:P17"/>
    <mergeCell ref="Q17:U17"/>
    <mergeCell ref="W17:AA17"/>
    <mergeCell ref="AC17:AG17"/>
    <mergeCell ref="AH17:AL17"/>
    <mergeCell ref="D4:K4"/>
    <mergeCell ref="L4:P4"/>
    <mergeCell ref="Q4:U4"/>
    <mergeCell ref="W4:AA4"/>
    <mergeCell ref="AC4:AG4"/>
    <mergeCell ref="AH4:AL4"/>
  </mergeCells>
  <pageMargins left="0.19685039370078741" right="0" top="0.78740157480314965" bottom="0.78740157480314965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Q142"/>
  <sheetViews>
    <sheetView zoomScaleNormal="100" zoomScaleSheetLayoutView="100" workbookViewId="0">
      <pane xSplit="1" ySplit="18" topLeftCell="B19" activePane="bottomRight" state="frozen"/>
      <selection pane="topRight" activeCell="B1" sqref="B1"/>
      <selection pane="bottomLeft" activeCell="A19" sqref="A19"/>
      <selection pane="bottomRight" activeCell="M151" sqref="M151"/>
    </sheetView>
  </sheetViews>
  <sheetFormatPr defaultRowHeight="12.75"/>
  <cols>
    <col min="1" max="1" width="15.7109375" customWidth="1"/>
    <col min="2" max="2" width="7.85546875" customWidth="1"/>
    <col min="3" max="3" width="7.5703125" customWidth="1"/>
    <col min="4" max="5" width="8.140625" customWidth="1"/>
    <col min="6" max="6" width="9.140625" customWidth="1"/>
    <col min="7" max="7" width="8.28515625" customWidth="1"/>
    <col min="8" max="10" width="9.140625" customWidth="1"/>
    <col min="11" max="11" width="10.28515625" customWidth="1"/>
    <col min="12" max="12" width="6.140625" customWidth="1"/>
    <col min="13" max="13" width="7.42578125" customWidth="1"/>
    <col min="14" max="14" width="6.5703125" customWidth="1"/>
    <col min="15" max="15" width="9.140625" customWidth="1"/>
    <col min="16" max="16" width="9.28515625" customWidth="1"/>
    <col min="17" max="17" width="7.28515625" customWidth="1"/>
    <col min="18" max="18" width="7" customWidth="1"/>
    <col min="19" max="19" width="6.42578125" customWidth="1"/>
    <col min="20" max="21" width="9.140625" customWidth="1"/>
    <col min="22" max="23" width="8" customWidth="1"/>
    <col min="24" max="24" width="8.140625" customWidth="1"/>
    <col min="25" max="25" width="7.28515625" customWidth="1"/>
    <col min="26" max="26" width="9.140625" customWidth="1"/>
    <col min="27" max="27" width="8.140625" customWidth="1"/>
    <col min="28" max="28" width="7.5703125" customWidth="1"/>
    <col min="29" max="29" width="7.7109375" customWidth="1"/>
    <col min="30" max="30" width="8" customWidth="1"/>
    <col min="31" max="31" width="7.7109375" customWidth="1"/>
    <col min="32" max="33" width="9.140625" customWidth="1"/>
    <col min="34" max="34" width="6.5703125" customWidth="1"/>
    <col min="35" max="35" width="7.85546875" customWidth="1"/>
    <col min="36" max="36" width="9.140625" customWidth="1"/>
    <col min="37" max="37" width="14.5703125" customWidth="1"/>
    <col min="38" max="38" width="9.140625" customWidth="1"/>
    <col min="39" max="40" width="9.140625" hidden="1" customWidth="1"/>
    <col min="41" max="41" width="9.5703125" bestFit="1" customWidth="1"/>
    <col min="42" max="42" width="0.140625" customWidth="1"/>
  </cols>
  <sheetData>
    <row r="2" spans="1:42">
      <c r="D2" t="s">
        <v>36</v>
      </c>
    </row>
    <row r="3" spans="1:42" hidden="1"/>
    <row r="4" spans="1:42" hidden="1">
      <c r="A4" s="1"/>
      <c r="B4" s="1"/>
      <c r="C4" s="1"/>
      <c r="D4" s="30" t="s">
        <v>11</v>
      </c>
      <c r="E4" s="30"/>
      <c r="F4" s="30"/>
      <c r="G4" s="30"/>
      <c r="H4" s="30"/>
      <c r="I4" s="30"/>
      <c r="J4" s="30"/>
      <c r="K4" s="30"/>
      <c r="L4" s="31" t="s">
        <v>19</v>
      </c>
      <c r="M4" s="32"/>
      <c r="N4" s="32"/>
      <c r="O4" s="32"/>
      <c r="P4" s="33"/>
      <c r="Q4" s="30" t="s">
        <v>20</v>
      </c>
      <c r="R4" s="30"/>
      <c r="S4" s="30"/>
      <c r="T4" s="30"/>
      <c r="U4" s="30"/>
      <c r="V4" s="4"/>
      <c r="W4" s="30" t="s">
        <v>25</v>
      </c>
      <c r="X4" s="30"/>
      <c r="Y4" s="30"/>
      <c r="Z4" s="30"/>
      <c r="AA4" s="30"/>
      <c r="AB4" s="4"/>
      <c r="AC4" s="30" t="s">
        <v>26</v>
      </c>
      <c r="AD4" s="30"/>
      <c r="AE4" s="30"/>
      <c r="AF4" s="30"/>
      <c r="AG4" s="30"/>
      <c r="AH4" s="30" t="s">
        <v>27</v>
      </c>
      <c r="AI4" s="30"/>
      <c r="AJ4" s="30"/>
      <c r="AK4" s="30"/>
      <c r="AL4" s="30"/>
      <c r="AM4" s="1"/>
      <c r="AN4" s="1"/>
      <c r="AO4" s="1"/>
      <c r="AP4" s="1"/>
    </row>
    <row r="5" spans="1:42" ht="178.5" hidden="1">
      <c r="A5" s="2" t="s">
        <v>0</v>
      </c>
      <c r="B5" s="2" t="s">
        <v>10</v>
      </c>
      <c r="C5" s="2"/>
      <c r="D5" s="2" t="s">
        <v>12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22</v>
      </c>
      <c r="K5" s="2" t="s">
        <v>18</v>
      </c>
      <c r="L5" s="2" t="s">
        <v>12</v>
      </c>
      <c r="M5" s="2" t="s">
        <v>13</v>
      </c>
      <c r="N5" s="2" t="s">
        <v>21</v>
      </c>
      <c r="O5" s="2" t="s">
        <v>23</v>
      </c>
      <c r="P5" s="2" t="s">
        <v>28</v>
      </c>
      <c r="Q5" s="2" t="s">
        <v>12</v>
      </c>
      <c r="R5" s="2" t="s">
        <v>13</v>
      </c>
      <c r="S5" s="2" t="s">
        <v>21</v>
      </c>
      <c r="T5" s="2" t="s">
        <v>23</v>
      </c>
      <c r="U5" s="2" t="s">
        <v>24</v>
      </c>
      <c r="V5" s="2"/>
      <c r="W5" s="2" t="s">
        <v>12</v>
      </c>
      <c r="X5" s="2" t="s">
        <v>13</v>
      </c>
      <c r="Y5" s="2" t="s">
        <v>21</v>
      </c>
      <c r="Z5" s="2" t="s">
        <v>23</v>
      </c>
      <c r="AA5" s="2" t="s">
        <v>24</v>
      </c>
      <c r="AB5" s="2"/>
      <c r="AC5" s="2" t="s">
        <v>12</v>
      </c>
      <c r="AD5" s="2" t="s">
        <v>13</v>
      </c>
      <c r="AE5" s="2" t="s">
        <v>21</v>
      </c>
      <c r="AF5" s="2" t="s">
        <v>23</v>
      </c>
      <c r="AG5" s="2" t="s">
        <v>24</v>
      </c>
      <c r="AH5" s="2" t="s">
        <v>12</v>
      </c>
      <c r="AI5" s="2" t="s">
        <v>13</v>
      </c>
      <c r="AJ5" s="2" t="s">
        <v>21</v>
      </c>
      <c r="AK5" s="2" t="s">
        <v>23</v>
      </c>
      <c r="AL5" s="2" t="s">
        <v>24</v>
      </c>
      <c r="AM5" s="1"/>
      <c r="AN5" s="1"/>
      <c r="AO5" s="2" t="s">
        <v>29</v>
      </c>
      <c r="AP5" s="1"/>
    </row>
    <row r="6" spans="1:42" hidden="1">
      <c r="A6" s="1" t="s">
        <v>1</v>
      </c>
      <c r="B6" s="1">
        <v>935</v>
      </c>
      <c r="C6" s="1"/>
      <c r="D6" s="1">
        <f>680.8+29</f>
        <v>709.8</v>
      </c>
      <c r="E6" s="1">
        <f>289.5+214</f>
        <v>503.5</v>
      </c>
      <c r="F6" s="1">
        <f>144.3+237.3+2</f>
        <v>383.6</v>
      </c>
      <c r="G6" s="1">
        <v>152</v>
      </c>
      <c r="H6" s="1">
        <f t="shared" ref="H6:H13" si="0">F6+G6</f>
        <v>535.6</v>
      </c>
      <c r="I6" s="1">
        <f t="shared" ref="I6:I13" si="1">D6+E6+H6</f>
        <v>1748.9</v>
      </c>
      <c r="J6" s="1"/>
      <c r="K6" s="1">
        <f>J14*B6</f>
        <v>436.5946504617375</v>
      </c>
      <c r="L6" s="1">
        <v>48.125</v>
      </c>
      <c r="M6" s="1"/>
      <c r="N6" s="1">
        <f t="shared" ref="N6:N13" si="2">L6+M6</f>
        <v>48.125</v>
      </c>
      <c r="O6" s="1"/>
      <c r="P6" s="1">
        <f>O14*B6</f>
        <v>17.521886800776425</v>
      </c>
      <c r="Q6" s="1">
        <f>8.111+12.125+3.29+2.322+8.8</f>
        <v>34.647999999999996</v>
      </c>
      <c r="R6" s="1">
        <f>94.452+55.891</f>
        <v>150.34299999999999</v>
      </c>
      <c r="S6" s="1">
        <f t="shared" ref="S6:S14" si="3">Q6+R6</f>
        <v>184.99099999999999</v>
      </c>
      <c r="T6" s="1"/>
      <c r="U6" s="1">
        <f>T14*B6</f>
        <v>273.27528123345684</v>
      </c>
      <c r="V6" s="1"/>
      <c r="W6" s="1">
        <v>646.20000000000005</v>
      </c>
      <c r="X6" s="1">
        <v>618.79999999999995</v>
      </c>
      <c r="Y6" s="1">
        <f t="shared" ref="Y6:Y13" si="4">W6+X6</f>
        <v>1265</v>
      </c>
      <c r="Z6" s="1"/>
      <c r="AA6" s="1">
        <f>Z14*B6</f>
        <v>456.11628838009528</v>
      </c>
      <c r="AB6" s="1"/>
      <c r="AC6" s="1">
        <v>41.1</v>
      </c>
      <c r="AD6" s="1">
        <v>65.7</v>
      </c>
      <c r="AE6" s="1">
        <f t="shared" ref="AE6:AE14" si="5">AC6+AD6</f>
        <v>106.80000000000001</v>
      </c>
      <c r="AF6" s="1"/>
      <c r="AG6" s="1">
        <f>AF14*B6</f>
        <v>11.863214663843305</v>
      </c>
      <c r="AH6" s="1"/>
      <c r="AI6" s="1"/>
      <c r="AJ6" s="1">
        <f t="shared" ref="AJ6:AJ14" si="6">AH6+AI6</f>
        <v>0</v>
      </c>
      <c r="AK6" s="1"/>
      <c r="AL6" s="1">
        <f>AK14*B6</f>
        <v>0.19386359625904356</v>
      </c>
      <c r="AM6" s="1"/>
      <c r="AN6" s="1"/>
      <c r="AO6" s="1">
        <f t="shared" ref="AO6:AO13" si="7">K6+P6+U6+AA6+AG6+AL6</f>
        <v>1195.5651851361683</v>
      </c>
      <c r="AP6" s="1"/>
    </row>
    <row r="7" spans="1:42" hidden="1">
      <c r="A7" s="1" t="s">
        <v>2</v>
      </c>
      <c r="B7" s="1">
        <v>1198</v>
      </c>
      <c r="C7" s="1"/>
      <c r="D7" s="1">
        <f>411.141+261.273+14.56</f>
        <v>686.97399999999993</v>
      </c>
      <c r="E7" s="1">
        <v>548</v>
      </c>
      <c r="F7" s="1">
        <v>391.5</v>
      </c>
      <c r="G7" s="1">
        <v>152</v>
      </c>
      <c r="H7" s="1">
        <f t="shared" si="0"/>
        <v>543.5</v>
      </c>
      <c r="I7" s="1">
        <f t="shared" si="1"/>
        <v>1778.4739999999999</v>
      </c>
      <c r="J7" s="1"/>
      <c r="K7" s="1">
        <f>J14*B7</f>
        <v>559.40148797129575</v>
      </c>
      <c r="L7" s="1">
        <v>48.125</v>
      </c>
      <c r="M7" s="1"/>
      <c r="N7" s="1">
        <f t="shared" si="2"/>
        <v>48.125</v>
      </c>
      <c r="O7" s="1"/>
      <c r="P7" s="1">
        <f>O14*B7</f>
        <v>22.450503088053644</v>
      </c>
      <c r="Q7" s="1">
        <f>27.632+17.023+26.627+95.173</f>
        <v>166.45499999999998</v>
      </c>
      <c r="R7" s="1">
        <v>355.4</v>
      </c>
      <c r="S7" s="1">
        <f t="shared" si="3"/>
        <v>521.85500000000002</v>
      </c>
      <c r="T7" s="1"/>
      <c r="U7" s="1">
        <f>T14*B7</f>
        <v>350.14308761249339</v>
      </c>
      <c r="V7" s="1"/>
      <c r="W7" s="1">
        <f>229.897+209.018</f>
        <v>438.91499999999996</v>
      </c>
      <c r="X7" s="1">
        <v>441.2</v>
      </c>
      <c r="Y7" s="1">
        <f t="shared" si="4"/>
        <v>880.11500000000001</v>
      </c>
      <c r="Z7" s="1"/>
      <c r="AA7" s="1">
        <f>Z14*B7</f>
        <v>584.414239015352</v>
      </c>
      <c r="AB7" s="1"/>
      <c r="AC7" s="1"/>
      <c r="AD7" s="1"/>
      <c r="AE7" s="1">
        <f t="shared" si="5"/>
        <v>0</v>
      </c>
      <c r="AF7" s="1"/>
      <c r="AG7" s="1">
        <f>AF14*B7</f>
        <v>15.200140285865539</v>
      </c>
      <c r="AH7" s="1"/>
      <c r="AI7" s="1"/>
      <c r="AJ7" s="1">
        <f t="shared" si="6"/>
        <v>0</v>
      </c>
      <c r="AK7" s="1"/>
      <c r="AL7" s="1">
        <f>AK14*B7</f>
        <v>0.24839421210517024</v>
      </c>
      <c r="AM7" s="1"/>
      <c r="AN7" s="1"/>
      <c r="AO7" s="1">
        <f t="shared" si="7"/>
        <v>1531.8578521851655</v>
      </c>
      <c r="AP7" s="1"/>
    </row>
    <row r="8" spans="1:42" hidden="1">
      <c r="A8" s="1" t="s">
        <v>3</v>
      </c>
      <c r="B8" s="1">
        <v>542</v>
      </c>
      <c r="C8" s="1"/>
      <c r="D8" s="1">
        <f>692.9+31</f>
        <v>723.9</v>
      </c>
      <c r="E8" s="1">
        <f>200+365.3</f>
        <v>565.29999999999995</v>
      </c>
      <c r="F8" s="1">
        <f>164.676+233.662</f>
        <v>398.33799999999997</v>
      </c>
      <c r="G8" s="1">
        <v>170</v>
      </c>
      <c r="H8" s="1">
        <f t="shared" si="0"/>
        <v>568.33799999999997</v>
      </c>
      <c r="I8" s="1">
        <f t="shared" si="1"/>
        <v>1857.5379999999998</v>
      </c>
      <c r="J8" s="1"/>
      <c r="K8" s="1">
        <f>J14*B8</f>
        <v>253.08481342273978</v>
      </c>
      <c r="L8" s="1">
        <v>14.436999999999999</v>
      </c>
      <c r="M8" s="1">
        <v>33.700000000000003</v>
      </c>
      <c r="N8" s="1">
        <f t="shared" si="2"/>
        <v>48.137</v>
      </c>
      <c r="O8" s="1"/>
      <c r="P8" s="1">
        <f>O14*B8</f>
        <v>10.157072348685372</v>
      </c>
      <c r="Q8" s="1">
        <f>109.8+23.114</f>
        <v>132.91399999999999</v>
      </c>
      <c r="R8" s="1">
        <f>67</f>
        <v>67</v>
      </c>
      <c r="S8" s="1">
        <f t="shared" si="3"/>
        <v>199.91399999999999</v>
      </c>
      <c r="T8" s="1"/>
      <c r="U8" s="1">
        <f>T14*B8</f>
        <v>158.4119812069878</v>
      </c>
      <c r="V8" s="1"/>
      <c r="W8" s="1">
        <v>433.7</v>
      </c>
      <c r="X8" s="1">
        <v>474.1</v>
      </c>
      <c r="Y8" s="1">
        <f t="shared" si="4"/>
        <v>907.8</v>
      </c>
      <c r="Z8" s="1"/>
      <c r="AA8" s="1">
        <f>Z14*B8</f>
        <v>264.40109978824773</v>
      </c>
      <c r="AB8" s="1"/>
      <c r="AC8" s="1">
        <v>32.9</v>
      </c>
      <c r="AD8" s="1">
        <v>32.799999999999997</v>
      </c>
      <c r="AE8" s="1">
        <f t="shared" si="5"/>
        <v>65.699999999999989</v>
      </c>
      <c r="AF8" s="1"/>
      <c r="AG8" s="1">
        <f>AF14*B8</f>
        <v>6.8768581259925892</v>
      </c>
      <c r="AH8" s="1"/>
      <c r="AI8" s="1"/>
      <c r="AJ8" s="1">
        <f t="shared" si="6"/>
        <v>0</v>
      </c>
      <c r="AK8" s="1"/>
      <c r="AL8" s="1">
        <f>AK14*B8</f>
        <v>0.11237868360684664</v>
      </c>
      <c r="AM8" s="1"/>
      <c r="AN8" s="1"/>
      <c r="AO8" s="1">
        <f t="shared" si="7"/>
        <v>693.04420357626009</v>
      </c>
      <c r="AP8" s="1"/>
    </row>
    <row r="9" spans="1:42" hidden="1">
      <c r="A9" s="1" t="s">
        <v>4</v>
      </c>
      <c r="B9" s="1">
        <v>701</v>
      </c>
      <c r="C9" s="1"/>
      <c r="D9" s="1">
        <v>659.2</v>
      </c>
      <c r="E9" s="1">
        <v>571.79999999999995</v>
      </c>
      <c r="F9" s="1">
        <v>392.1</v>
      </c>
      <c r="G9" s="1">
        <v>200</v>
      </c>
      <c r="H9" s="1">
        <f t="shared" si="0"/>
        <v>592.1</v>
      </c>
      <c r="I9" s="1">
        <f t="shared" si="1"/>
        <v>1823.1</v>
      </c>
      <c r="J9" s="1"/>
      <c r="K9" s="1">
        <f>J14*B9</f>
        <v>327.32925130874651</v>
      </c>
      <c r="L9" s="1">
        <v>38</v>
      </c>
      <c r="M9" s="1">
        <v>10.125</v>
      </c>
      <c r="N9" s="1">
        <f t="shared" si="2"/>
        <v>48.125</v>
      </c>
      <c r="O9" s="1"/>
      <c r="P9" s="1">
        <f>O14*B9</f>
        <v>13.136730104111523</v>
      </c>
      <c r="Q9" s="1">
        <f>17+44.808</f>
        <v>61.808</v>
      </c>
      <c r="R9" s="1">
        <f>40.279+17.418</f>
        <v>57.697000000000003</v>
      </c>
      <c r="S9" s="1">
        <f t="shared" si="3"/>
        <v>119.505</v>
      </c>
      <c r="T9" s="1"/>
      <c r="U9" s="1">
        <f>T14*B9</f>
        <v>204.88339266807833</v>
      </c>
      <c r="V9" s="1"/>
      <c r="W9" s="1">
        <v>380.58</v>
      </c>
      <c r="X9" s="1">
        <v>390.2</v>
      </c>
      <c r="Y9" s="1">
        <f t="shared" si="4"/>
        <v>770.78</v>
      </c>
      <c r="Z9" s="1"/>
      <c r="AA9" s="1">
        <f>Z14*B9</f>
        <v>341.96526005823188</v>
      </c>
      <c r="AB9" s="1"/>
      <c r="AC9" s="1"/>
      <c r="AD9" s="1"/>
      <c r="AE9" s="1">
        <f t="shared" si="5"/>
        <v>0</v>
      </c>
      <c r="AF9" s="1"/>
      <c r="AG9" s="1">
        <f>AF14*B9</f>
        <v>8.8942390153520385</v>
      </c>
      <c r="AH9" s="1">
        <v>2.4</v>
      </c>
      <c r="AI9" s="1"/>
      <c r="AJ9" s="1">
        <f t="shared" si="6"/>
        <v>2.4</v>
      </c>
      <c r="AK9" s="1"/>
      <c r="AL9" s="1">
        <f>AK14*B9</f>
        <v>0.14534586200811714</v>
      </c>
      <c r="AM9" s="1"/>
      <c r="AN9" s="1"/>
      <c r="AO9" s="1">
        <f t="shared" si="7"/>
        <v>896.3542190165283</v>
      </c>
      <c r="AP9" s="1"/>
    </row>
    <row r="10" spans="1:42" hidden="1">
      <c r="A10" s="1" t="s">
        <v>5</v>
      </c>
      <c r="B10" s="1">
        <v>1094</v>
      </c>
      <c r="C10" s="1"/>
      <c r="D10" s="1">
        <f>562.405+254.024</f>
        <v>816.42899999999997</v>
      </c>
      <c r="E10" s="1">
        <v>713.7</v>
      </c>
      <c r="F10" s="1">
        <v>517.1</v>
      </c>
      <c r="G10" s="1">
        <v>170</v>
      </c>
      <c r="H10" s="1">
        <f t="shared" si="0"/>
        <v>687.1</v>
      </c>
      <c r="I10" s="1">
        <f t="shared" si="1"/>
        <v>2217.2289999999998</v>
      </c>
      <c r="J10" s="1"/>
      <c r="K10" s="1">
        <f>J14*B10</f>
        <v>510.83908834774417</v>
      </c>
      <c r="L10" s="1">
        <v>48</v>
      </c>
      <c r="M10" s="1"/>
      <c r="N10" s="1">
        <f t="shared" si="2"/>
        <v>48</v>
      </c>
      <c r="O10" s="1"/>
      <c r="P10" s="1">
        <f>O14*B10</f>
        <v>20.501544556202578</v>
      </c>
      <c r="Q10" s="1">
        <f>35.1+79.762+20.6+48.24</f>
        <v>183.702</v>
      </c>
      <c r="R10" s="1">
        <v>402.5</v>
      </c>
      <c r="S10" s="1">
        <f t="shared" si="3"/>
        <v>586.202</v>
      </c>
      <c r="T10" s="1"/>
      <c r="U10" s="1">
        <f>T14*B10</f>
        <v>319.74669269454733</v>
      </c>
      <c r="V10" s="1"/>
      <c r="W10" s="1">
        <f>535.296+201.124</f>
        <v>736.42000000000007</v>
      </c>
      <c r="X10" s="1">
        <v>850</v>
      </c>
      <c r="Y10" s="1">
        <f t="shared" si="4"/>
        <v>1586.42</v>
      </c>
      <c r="Z10" s="1"/>
      <c r="AA10" s="1">
        <f>Z14*B10</f>
        <v>533.68044865007937</v>
      </c>
      <c r="AB10" s="1"/>
      <c r="AC10" s="1"/>
      <c r="AD10" s="1"/>
      <c r="AE10" s="1">
        <f t="shared" si="5"/>
        <v>0</v>
      </c>
      <c r="AF10" s="1"/>
      <c r="AG10" s="1">
        <f>AF14*B10</f>
        <v>13.880595553202754</v>
      </c>
      <c r="AH10" s="1"/>
      <c r="AI10" s="1"/>
      <c r="AJ10" s="1">
        <f t="shared" si="6"/>
        <v>0</v>
      </c>
      <c r="AK10" s="1"/>
      <c r="AL10" s="1">
        <f>AK14*B10</f>
        <v>0.22683077466031407</v>
      </c>
      <c r="AM10" s="1"/>
      <c r="AN10" s="1"/>
      <c r="AO10" s="1">
        <f t="shared" si="7"/>
        <v>1398.8752005764366</v>
      </c>
      <c r="AP10" s="1"/>
    </row>
    <row r="11" spans="1:42" hidden="1">
      <c r="A11" s="1" t="s">
        <v>6</v>
      </c>
      <c r="B11" s="1">
        <v>1616</v>
      </c>
      <c r="C11" s="1"/>
      <c r="D11" s="1">
        <f>676.7</f>
        <v>676.7</v>
      </c>
      <c r="E11" s="1">
        <f>658.7+29.5</f>
        <v>688.2</v>
      </c>
      <c r="F11" s="1">
        <f>125.348+271.113</f>
        <v>396.46100000000001</v>
      </c>
      <c r="G11" s="1">
        <v>200</v>
      </c>
      <c r="H11" s="1">
        <f t="shared" si="0"/>
        <v>596.46100000000001</v>
      </c>
      <c r="I11" s="1">
        <f t="shared" si="1"/>
        <v>1961.3610000000001</v>
      </c>
      <c r="J11" s="1"/>
      <c r="K11" s="1">
        <f>J14*B11</f>
        <v>754.58497876595482</v>
      </c>
      <c r="L11" s="1">
        <v>48.125</v>
      </c>
      <c r="M11" s="1">
        <v>21</v>
      </c>
      <c r="N11" s="1">
        <f t="shared" si="2"/>
        <v>69.125</v>
      </c>
      <c r="O11" s="1"/>
      <c r="P11" s="1">
        <f>O14*B11</f>
        <v>30.283817187224283</v>
      </c>
      <c r="Q11" s="1">
        <f>87.343+30.915+56.428</f>
        <v>174.68600000000001</v>
      </c>
      <c r="R11" s="1">
        <v>87.3</v>
      </c>
      <c r="S11" s="1">
        <f t="shared" si="3"/>
        <v>261.98599999999999</v>
      </c>
      <c r="T11" s="1"/>
      <c r="U11" s="1">
        <f>T14*B11</f>
        <v>472.31321334039171</v>
      </c>
      <c r="V11" s="1"/>
      <c r="W11" s="1">
        <v>1215.4000000000001</v>
      </c>
      <c r="X11" s="1">
        <v>1260.3</v>
      </c>
      <c r="Y11" s="1">
        <f t="shared" si="4"/>
        <v>2475.6999999999998</v>
      </c>
      <c r="Z11" s="1"/>
      <c r="AA11" s="1">
        <f>Z14*B11</f>
        <v>788.3250502911593</v>
      </c>
      <c r="AB11" s="1"/>
      <c r="AC11" s="1"/>
      <c r="AD11" s="1"/>
      <c r="AE11" s="1">
        <f t="shared" si="5"/>
        <v>0</v>
      </c>
      <c r="AF11" s="1"/>
      <c r="AG11" s="1">
        <f>AF14*B11</f>
        <v>20.503695076760192</v>
      </c>
      <c r="AH11" s="1">
        <v>2.2999999999999998</v>
      </c>
      <c r="AI11" s="1"/>
      <c r="AJ11" s="1">
        <f t="shared" si="6"/>
        <v>2.2999999999999998</v>
      </c>
      <c r="AK11" s="1"/>
      <c r="AL11" s="1">
        <f>AK14*B11</f>
        <v>0.33506264337391911</v>
      </c>
      <c r="AM11" s="1"/>
      <c r="AN11" s="1"/>
      <c r="AO11" s="1">
        <f t="shared" si="7"/>
        <v>2066.3458173048643</v>
      </c>
      <c r="AP11" s="1"/>
    </row>
    <row r="12" spans="1:42" hidden="1">
      <c r="A12" s="1" t="s">
        <v>7</v>
      </c>
      <c r="B12" s="1">
        <v>974</v>
      </c>
      <c r="C12" s="1"/>
      <c r="D12" s="1">
        <v>672.1</v>
      </c>
      <c r="E12" s="1">
        <f>230+346.1</f>
        <v>576.1</v>
      </c>
      <c r="F12" s="1">
        <f>150.072+263.822+2</f>
        <v>415.89400000000001</v>
      </c>
      <c r="G12" s="1">
        <v>165</v>
      </c>
      <c r="H12" s="1">
        <f t="shared" si="0"/>
        <v>580.89400000000001</v>
      </c>
      <c r="I12" s="1">
        <f t="shared" si="1"/>
        <v>1829.0940000000001</v>
      </c>
      <c r="J12" s="1"/>
      <c r="K12" s="1">
        <f>J14*B12</f>
        <v>454.8055503205693</v>
      </c>
      <c r="L12" s="1">
        <v>14.436999999999999</v>
      </c>
      <c r="M12" s="1">
        <v>33.686999999999998</v>
      </c>
      <c r="N12" s="1">
        <f t="shared" si="2"/>
        <v>48.123999999999995</v>
      </c>
      <c r="O12" s="1"/>
      <c r="P12" s="1">
        <f>O14*B12</f>
        <v>18.252746250220575</v>
      </c>
      <c r="Q12" s="1">
        <f>56.777+39.407</f>
        <v>96.183999999999997</v>
      </c>
      <c r="R12" s="1">
        <f>43.766+3.542</f>
        <v>47.308</v>
      </c>
      <c r="S12" s="1">
        <f t="shared" si="3"/>
        <v>143.49199999999999</v>
      </c>
      <c r="T12" s="1"/>
      <c r="U12" s="1">
        <f>T14*B12</f>
        <v>284.67392932768661</v>
      </c>
      <c r="V12" s="1"/>
      <c r="W12" s="1">
        <v>735.1</v>
      </c>
      <c r="X12" s="1">
        <v>792.9</v>
      </c>
      <c r="Y12" s="1">
        <f t="shared" si="4"/>
        <v>1528</v>
      </c>
      <c r="Z12" s="1"/>
      <c r="AA12" s="1">
        <f>Z14*B12</f>
        <v>475.14145976707255</v>
      </c>
      <c r="AB12" s="1"/>
      <c r="AC12" s="1"/>
      <c r="AD12" s="1"/>
      <c r="AE12" s="1">
        <f t="shared" si="5"/>
        <v>0</v>
      </c>
      <c r="AF12" s="1"/>
      <c r="AG12" s="1">
        <f>AF14*B12</f>
        <v>12.358043938591848</v>
      </c>
      <c r="AH12" s="1"/>
      <c r="AI12" s="1"/>
      <c r="AJ12" s="1">
        <f t="shared" si="6"/>
        <v>0</v>
      </c>
      <c r="AK12" s="1"/>
      <c r="AL12" s="1">
        <f>AK14*U12</f>
        <v>5.9024504492682497E-2</v>
      </c>
      <c r="AM12" s="1"/>
      <c r="AN12" s="1"/>
      <c r="AO12" s="1">
        <f t="shared" si="7"/>
        <v>1245.2907541086338</v>
      </c>
      <c r="AP12" s="1"/>
    </row>
    <row r="13" spans="1:42" hidden="1">
      <c r="A13" s="1" t="s">
        <v>8</v>
      </c>
      <c r="B13" s="1">
        <v>4274</v>
      </c>
      <c r="C13" s="1"/>
      <c r="D13" s="1">
        <v>998.3</v>
      </c>
      <c r="E13" s="1">
        <f>250.7+564.4</f>
        <v>815.09999999999991</v>
      </c>
      <c r="F13" s="1">
        <f>219.309+428.698</f>
        <v>648.00699999999995</v>
      </c>
      <c r="G13" s="1">
        <v>200</v>
      </c>
      <c r="H13" s="1">
        <f t="shared" si="0"/>
        <v>848.00699999999995</v>
      </c>
      <c r="I13" s="1">
        <f t="shared" si="1"/>
        <v>2661.4069999999997</v>
      </c>
      <c r="J13" s="1"/>
      <c r="K13" s="1">
        <f>J14*B13</f>
        <v>1995.7278460678781</v>
      </c>
      <c r="L13" s="1">
        <v>14.436999999999999</v>
      </c>
      <c r="M13" s="1">
        <f>18.9+33.7</f>
        <v>52.6</v>
      </c>
      <c r="N13" s="1">
        <f t="shared" si="2"/>
        <v>67.037000000000006</v>
      </c>
      <c r="O13" s="1"/>
      <c r="P13" s="1">
        <f>O14*B13</f>
        <v>80.09469966472561</v>
      </c>
      <c r="Q13" s="1">
        <f>1722.4+711.9</f>
        <v>2434.3000000000002</v>
      </c>
      <c r="R13" s="1">
        <f>2173</f>
        <v>2173</v>
      </c>
      <c r="S13" s="1">
        <f t="shared" si="3"/>
        <v>4607.3</v>
      </c>
      <c r="T13" s="1"/>
      <c r="U13" s="1">
        <f>T14*B13</f>
        <v>1249.1749219163578</v>
      </c>
      <c r="V13" s="1"/>
      <c r="W13" s="1">
        <v>895.4</v>
      </c>
      <c r="X13" s="1">
        <v>748.8</v>
      </c>
      <c r="Y13" s="1">
        <f t="shared" si="4"/>
        <v>1644.1999999999998</v>
      </c>
      <c r="Z13" s="1"/>
      <c r="AA13" s="1">
        <f>Z14*B13</f>
        <v>2084.9636540497618</v>
      </c>
      <c r="AB13" s="1"/>
      <c r="AC13" s="1">
        <v>51.41</v>
      </c>
      <c r="AD13" s="1">
        <v>63.7</v>
      </c>
      <c r="AE13" s="1">
        <f t="shared" si="5"/>
        <v>115.11</v>
      </c>
      <c r="AF13" s="1"/>
      <c r="AG13" s="1">
        <f>AF14*B13</f>
        <v>54.228213340391747</v>
      </c>
      <c r="AH13" s="1"/>
      <c r="AI13" s="1"/>
      <c r="AJ13" s="1">
        <f t="shared" si="6"/>
        <v>0</v>
      </c>
      <c r="AK13" s="1"/>
      <c r="AL13" s="1">
        <f>AK14*B13</f>
        <v>0.88617434268572426</v>
      </c>
      <c r="AM13" s="1"/>
      <c r="AN13" s="1"/>
      <c r="AO13" s="1">
        <f t="shared" si="7"/>
        <v>5465.0755093818007</v>
      </c>
      <c r="AP13" s="1"/>
    </row>
    <row r="14" spans="1:42" hidden="1">
      <c r="A14" s="1" t="s">
        <v>9</v>
      </c>
      <c r="B14" s="1">
        <f>SUM(B6:B13)</f>
        <v>11334</v>
      </c>
      <c r="C14" s="1"/>
      <c r="D14" s="1">
        <f t="shared" ref="D14:I14" si="8">SUM(D6:D13)</f>
        <v>5943.4030000000002</v>
      </c>
      <c r="E14" s="1">
        <f t="shared" si="8"/>
        <v>4981.7000000000007</v>
      </c>
      <c r="F14" s="1">
        <f t="shared" si="8"/>
        <v>3543.0000000000005</v>
      </c>
      <c r="G14" s="1">
        <f t="shared" si="8"/>
        <v>1409</v>
      </c>
      <c r="H14" s="1">
        <f t="shared" si="8"/>
        <v>4952</v>
      </c>
      <c r="I14" s="1">
        <f t="shared" si="8"/>
        <v>15877.102999999999</v>
      </c>
      <c r="J14" s="1">
        <f>I14/3/B14</f>
        <v>0.46694615022645719</v>
      </c>
      <c r="K14" s="1">
        <f>SUM(K6:K13)</f>
        <v>5292.3676666666661</v>
      </c>
      <c r="L14" s="1">
        <f>SUM(L6:L13)</f>
        <v>273.68600000000004</v>
      </c>
      <c r="M14" s="1">
        <f>SUM(M6:M13)</f>
        <v>151.11199999999999</v>
      </c>
      <c r="N14" s="1">
        <f>SUM(N6:N13)</f>
        <v>424.798</v>
      </c>
      <c r="O14" s="1">
        <f>N14/2/B14</f>
        <v>1.8739985883183343E-2</v>
      </c>
      <c r="P14" s="1">
        <f>SUM(P6:P13)</f>
        <v>212.399</v>
      </c>
      <c r="Q14" s="1">
        <f>SUM(Q6:Q13)</f>
        <v>3284.6970000000001</v>
      </c>
      <c r="R14" s="1">
        <f>SUM(R6:R13)</f>
        <v>3340.5479999999998</v>
      </c>
      <c r="S14" s="1">
        <f t="shared" si="3"/>
        <v>6625.2449999999999</v>
      </c>
      <c r="T14" s="1">
        <f>S14/2/B14</f>
        <v>0.29227302805717309</v>
      </c>
      <c r="U14" s="1">
        <f>SUM(U6:U13)</f>
        <v>3312.6224999999995</v>
      </c>
      <c r="V14" s="1"/>
      <c r="W14" s="1">
        <f>SUM(W6:W13)</f>
        <v>5481.7150000000001</v>
      </c>
      <c r="X14" s="1">
        <f>SUM(X6:X13)</f>
        <v>5576.3</v>
      </c>
      <c r="Y14" s="1">
        <f>SUM(Y6:Y13)</f>
        <v>11058.014999999999</v>
      </c>
      <c r="Z14" s="1">
        <f>Y14/2/B14</f>
        <v>0.48782490735839068</v>
      </c>
      <c r="AA14" s="1">
        <f>SUM(AA6:AA13)</f>
        <v>5529.0074999999997</v>
      </c>
      <c r="AB14" s="1"/>
      <c r="AC14" s="1">
        <f>SUM(AC6:AC13)</f>
        <v>125.41</v>
      </c>
      <c r="AD14" s="1">
        <f>SUM(AD6:AD13)</f>
        <v>162.19999999999999</v>
      </c>
      <c r="AE14" s="1">
        <f t="shared" si="5"/>
        <v>287.61</v>
      </c>
      <c r="AF14" s="1">
        <f>AE14/2/B14</f>
        <v>1.2687930121757545E-2</v>
      </c>
      <c r="AG14" s="1">
        <f>SUM(AG6:AG13)</f>
        <v>143.80500000000001</v>
      </c>
      <c r="AH14" s="1">
        <f>SUM(AH6:AH13)</f>
        <v>4.6999999999999993</v>
      </c>
      <c r="AI14" s="1">
        <f>SUM(AI6:AI13)</f>
        <v>0</v>
      </c>
      <c r="AJ14" s="1">
        <f t="shared" si="6"/>
        <v>4.6999999999999993</v>
      </c>
      <c r="AK14" s="1">
        <f>AJ14/2/B14</f>
        <v>2.0734074466207867E-4</v>
      </c>
      <c r="AL14" s="1">
        <f>SUM(AL6:AL13)</f>
        <v>2.2070746191918174</v>
      </c>
      <c r="AM14" s="1"/>
      <c r="AN14" s="1"/>
      <c r="AO14" s="1">
        <f>SUM(AO6:AO13)</f>
        <v>14492.408741285857</v>
      </c>
      <c r="AP14" s="1"/>
    </row>
    <row r="15" spans="1:42" hidden="1"/>
    <row r="17" spans="1:43">
      <c r="A17" s="1"/>
      <c r="B17" s="1"/>
      <c r="C17" s="1"/>
      <c r="D17" s="34" t="s">
        <v>11</v>
      </c>
      <c r="E17" s="34"/>
      <c r="F17" s="34"/>
      <c r="G17" s="34"/>
      <c r="H17" s="34"/>
      <c r="I17" s="34"/>
      <c r="J17" s="34"/>
      <c r="K17" s="34"/>
      <c r="L17" s="35" t="s">
        <v>19</v>
      </c>
      <c r="M17" s="36"/>
      <c r="N17" s="36"/>
      <c r="O17" s="36"/>
      <c r="P17" s="37"/>
      <c r="Q17" s="34" t="s">
        <v>31</v>
      </c>
      <c r="R17" s="34"/>
      <c r="S17" s="34"/>
      <c r="T17" s="34"/>
      <c r="U17" s="34"/>
      <c r="V17" s="4"/>
      <c r="W17" s="34" t="s">
        <v>25</v>
      </c>
      <c r="X17" s="34"/>
      <c r="Y17" s="34"/>
      <c r="Z17" s="34"/>
      <c r="AA17" s="34"/>
      <c r="AB17" s="4"/>
      <c r="AC17" s="34" t="s">
        <v>26</v>
      </c>
      <c r="AD17" s="34"/>
      <c r="AE17" s="34"/>
      <c r="AF17" s="34"/>
      <c r="AG17" s="34"/>
      <c r="AH17" s="34" t="s">
        <v>27</v>
      </c>
      <c r="AI17" s="34"/>
      <c r="AJ17" s="34"/>
      <c r="AK17" s="34"/>
      <c r="AL17" s="34"/>
      <c r="AM17" s="1"/>
      <c r="AN17" s="1"/>
      <c r="AO17" s="1"/>
      <c r="AP17" s="1"/>
    </row>
    <row r="18" spans="1:43" ht="153">
      <c r="A18" s="2" t="s">
        <v>0</v>
      </c>
      <c r="B18" s="10" t="s">
        <v>35</v>
      </c>
      <c r="C18" s="2"/>
      <c r="D18" s="2" t="s">
        <v>37</v>
      </c>
      <c r="E18" s="2" t="s">
        <v>37</v>
      </c>
      <c r="F18" s="2" t="s">
        <v>38</v>
      </c>
      <c r="G18" s="2" t="s">
        <v>39</v>
      </c>
      <c r="H18" s="2" t="s">
        <v>32</v>
      </c>
      <c r="I18" s="2" t="s">
        <v>17</v>
      </c>
      <c r="J18" s="2" t="s">
        <v>40</v>
      </c>
      <c r="K18" s="2" t="s">
        <v>18</v>
      </c>
      <c r="L18" s="2" t="s">
        <v>33</v>
      </c>
      <c r="M18" s="2" t="s">
        <v>37</v>
      </c>
      <c r="N18" s="2" t="s">
        <v>21</v>
      </c>
      <c r="O18" s="2" t="s">
        <v>41</v>
      </c>
      <c r="P18" s="2" t="s">
        <v>34</v>
      </c>
      <c r="Q18" s="2" t="s">
        <v>33</v>
      </c>
      <c r="R18" s="2" t="s">
        <v>37</v>
      </c>
      <c r="S18" s="2" t="s">
        <v>21</v>
      </c>
      <c r="T18" s="2" t="s">
        <v>41</v>
      </c>
      <c r="U18" s="2" t="s">
        <v>42</v>
      </c>
      <c r="V18" s="10" t="s">
        <v>43</v>
      </c>
      <c r="W18" s="2" t="s">
        <v>33</v>
      </c>
      <c r="X18" s="2" t="s">
        <v>37</v>
      </c>
      <c r="Y18" s="2" t="s">
        <v>21</v>
      </c>
      <c r="Z18" s="2" t="s">
        <v>41</v>
      </c>
      <c r="AA18" s="2" t="s">
        <v>42</v>
      </c>
      <c r="AB18" s="2" t="s">
        <v>30</v>
      </c>
      <c r="AC18" s="2" t="s">
        <v>33</v>
      </c>
      <c r="AD18" s="2" t="s">
        <v>37</v>
      </c>
      <c r="AE18" s="2" t="s">
        <v>21</v>
      </c>
      <c r="AF18" s="2" t="s">
        <v>41</v>
      </c>
      <c r="AG18" s="2" t="s">
        <v>42</v>
      </c>
      <c r="AH18" s="2" t="s">
        <v>33</v>
      </c>
      <c r="AI18" s="2" t="s">
        <v>37</v>
      </c>
      <c r="AJ18" s="2" t="s">
        <v>21</v>
      </c>
      <c r="AK18" s="2" t="s">
        <v>41</v>
      </c>
      <c r="AL18" s="2" t="s">
        <v>42</v>
      </c>
      <c r="AM18" s="1"/>
      <c r="AN18" s="1"/>
      <c r="AO18" s="2" t="s">
        <v>44</v>
      </c>
      <c r="AP18" s="1"/>
    </row>
    <row r="19" spans="1:43">
      <c r="A19" s="1" t="s">
        <v>1</v>
      </c>
      <c r="B19" s="8">
        <v>703</v>
      </c>
      <c r="C19" s="8">
        <f t="shared" ref="C19:C25" si="9">B19</f>
        <v>703</v>
      </c>
      <c r="D19" s="11">
        <v>1020.7</v>
      </c>
      <c r="E19" s="11">
        <v>1272</v>
      </c>
      <c r="F19" s="11"/>
      <c r="G19" s="11">
        <v>98.2</v>
      </c>
      <c r="H19" s="1">
        <f t="shared" ref="H19:H26" si="10">F19+G19</f>
        <v>98.2</v>
      </c>
      <c r="I19" s="11">
        <f>D19+E19+H19</f>
        <v>2390.8999999999996</v>
      </c>
      <c r="J19" s="1"/>
      <c r="K19" s="11">
        <f>J27*C19</f>
        <v>855.39526684555756</v>
      </c>
      <c r="L19" s="11">
        <v>16</v>
      </c>
      <c r="M19" s="11"/>
      <c r="N19" s="11">
        <f t="shared" ref="N19:N26" si="11">L19+M19</f>
        <v>16</v>
      </c>
      <c r="O19" s="1"/>
      <c r="P19" s="11">
        <f>O27*B19</f>
        <v>9.256454322263858</v>
      </c>
      <c r="Q19" s="11"/>
      <c r="R19" s="11"/>
      <c r="S19" s="11">
        <f t="shared" ref="S19:S27" si="12">Q19+R19</f>
        <v>0</v>
      </c>
      <c r="T19" s="1"/>
      <c r="U19" s="15">
        <f>T27*B19</f>
        <v>37.348294353275612</v>
      </c>
      <c r="V19" s="8">
        <v>685</v>
      </c>
      <c r="W19" s="11">
        <v>673.2</v>
      </c>
      <c r="X19" s="11">
        <v>383.4</v>
      </c>
      <c r="Y19" s="11">
        <f t="shared" ref="Y19:Y26" si="13">W19+X19</f>
        <v>1056.5999999999999</v>
      </c>
      <c r="Z19" s="1"/>
      <c r="AA19" s="15">
        <f>Z27*V19</f>
        <v>229.17353920118342</v>
      </c>
      <c r="AB19" s="1"/>
      <c r="AC19" s="11">
        <v>177.9</v>
      </c>
      <c r="AD19" s="11">
        <v>82.9</v>
      </c>
      <c r="AE19" s="11">
        <f t="shared" ref="AE19:AE27" si="14">AC19+AD19</f>
        <v>260.8</v>
      </c>
      <c r="AF19" s="1"/>
      <c r="AG19" s="15">
        <f>AF27*B19</f>
        <v>36.607959684713791</v>
      </c>
      <c r="AH19" s="1"/>
      <c r="AI19" s="1"/>
      <c r="AJ19" s="1">
        <f t="shared" ref="AJ19:AJ27" si="15">AH19+AI19</f>
        <v>0</v>
      </c>
      <c r="AK19" s="1"/>
      <c r="AL19" s="15">
        <f>AK27*B19</f>
        <v>3.3065253908773746</v>
      </c>
      <c r="AM19" s="1"/>
      <c r="AN19" s="1"/>
      <c r="AO19" s="11">
        <f t="shared" ref="AO19:AO26" si="16">K19+P19+U19+AA19+AG19+AL19</f>
        <v>1171.0880397978715</v>
      </c>
      <c r="AP19" s="1"/>
    </row>
    <row r="20" spans="1:43">
      <c r="A20" s="1" t="s">
        <v>2</v>
      </c>
      <c r="B20" s="8">
        <v>826</v>
      </c>
      <c r="C20" s="8">
        <f t="shared" si="9"/>
        <v>826</v>
      </c>
      <c r="D20" s="11">
        <v>1290.4000000000001</v>
      </c>
      <c r="E20" s="11">
        <v>1212.5</v>
      </c>
      <c r="F20" s="11"/>
      <c r="G20" s="11">
        <v>96.1</v>
      </c>
      <c r="H20" s="1">
        <f t="shared" si="10"/>
        <v>96.1</v>
      </c>
      <c r="I20" s="11">
        <f t="shared" ref="I20:I26" si="17">D20+E20+H20</f>
        <v>2599</v>
      </c>
      <c r="J20" s="1"/>
      <c r="K20" s="11">
        <f>J27*B20</f>
        <v>1005.0590190816935</v>
      </c>
      <c r="L20" s="11"/>
      <c r="M20" s="11"/>
      <c r="N20" s="11">
        <f t="shared" si="11"/>
        <v>0</v>
      </c>
      <c r="O20" s="1"/>
      <c r="P20" s="11">
        <f>O27*B20</f>
        <v>10.876004651763793</v>
      </c>
      <c r="Q20" s="11">
        <v>20</v>
      </c>
      <c r="R20" s="11"/>
      <c r="S20" s="11">
        <f t="shared" si="12"/>
        <v>20</v>
      </c>
      <c r="T20" s="1"/>
      <c r="U20" s="15">
        <f>T27*B20</f>
        <v>43.88291768962398</v>
      </c>
      <c r="V20" s="8">
        <v>881</v>
      </c>
      <c r="W20" s="11"/>
      <c r="X20" s="11"/>
      <c r="Y20" s="11">
        <f t="shared" si="13"/>
        <v>0</v>
      </c>
      <c r="Z20" s="1"/>
      <c r="AA20" s="15">
        <f>Z27*V20</f>
        <v>294.74728180473369</v>
      </c>
      <c r="AB20" s="1"/>
      <c r="AC20" s="11">
        <v>42</v>
      </c>
      <c r="AD20" s="11">
        <v>12.1</v>
      </c>
      <c r="AE20" s="11">
        <f t="shared" si="14"/>
        <v>54.1</v>
      </c>
      <c r="AF20" s="1"/>
      <c r="AG20" s="15">
        <f>AF27*B20</f>
        <v>43.013050781754757</v>
      </c>
      <c r="AH20" s="1"/>
      <c r="AI20" s="1"/>
      <c r="AJ20" s="1">
        <f t="shared" si="15"/>
        <v>0</v>
      </c>
      <c r="AK20" s="1"/>
      <c r="AL20" s="15">
        <f>AK27*B20</f>
        <v>3.8850497480294615</v>
      </c>
      <c r="AM20" s="1"/>
      <c r="AN20" s="1"/>
      <c r="AO20" s="11">
        <f t="shared" si="16"/>
        <v>1401.463323757599</v>
      </c>
      <c r="AP20" s="1"/>
    </row>
    <row r="21" spans="1:43">
      <c r="A21" s="1" t="s">
        <v>3</v>
      </c>
      <c r="B21" s="8">
        <v>420</v>
      </c>
      <c r="C21" s="8">
        <f t="shared" si="9"/>
        <v>420</v>
      </c>
      <c r="D21" s="11">
        <v>1292.4000000000001</v>
      </c>
      <c r="E21" s="11">
        <v>1256.4000000000001</v>
      </c>
      <c r="F21" s="11"/>
      <c r="G21" s="11">
        <v>100</v>
      </c>
      <c r="H21" s="1">
        <f t="shared" si="10"/>
        <v>100</v>
      </c>
      <c r="I21" s="11">
        <f t="shared" si="17"/>
        <v>2648.8</v>
      </c>
      <c r="J21" s="1"/>
      <c r="K21" s="11">
        <f>J27*B21</f>
        <v>511.04695885509835</v>
      </c>
      <c r="L21" s="11"/>
      <c r="M21" s="11"/>
      <c r="N21" s="11">
        <f t="shared" si="11"/>
        <v>0</v>
      </c>
      <c r="O21" s="1"/>
      <c r="P21" s="11">
        <f>O27*B21</f>
        <v>5.5301718568290479</v>
      </c>
      <c r="Q21" s="11">
        <v>40</v>
      </c>
      <c r="R21" s="11"/>
      <c r="S21" s="11">
        <f t="shared" si="12"/>
        <v>40</v>
      </c>
      <c r="T21" s="1"/>
      <c r="U21" s="15">
        <f>T27*B21</f>
        <v>22.313347977774903</v>
      </c>
      <c r="V21" s="8">
        <v>415</v>
      </c>
      <c r="W21" s="11">
        <v>451.3</v>
      </c>
      <c r="X21" s="11">
        <v>424.6</v>
      </c>
      <c r="Y21" s="11">
        <f t="shared" si="13"/>
        <v>875.90000000000009</v>
      </c>
      <c r="Z21" s="1"/>
      <c r="AA21" s="15">
        <f>Z27*V21</f>
        <v>138.84236316568047</v>
      </c>
      <c r="AB21" s="1"/>
      <c r="AC21" s="11"/>
      <c r="AD21" s="11"/>
      <c r="AE21" s="11">
        <f t="shared" si="14"/>
        <v>0</v>
      </c>
      <c r="AF21" s="1"/>
      <c r="AG21" s="15">
        <f>AF27*B21</f>
        <v>21.871042770383774</v>
      </c>
      <c r="AH21" s="1"/>
      <c r="AI21" s="1"/>
      <c r="AJ21" s="1">
        <f t="shared" si="15"/>
        <v>0</v>
      </c>
      <c r="AK21" s="1"/>
      <c r="AL21" s="15">
        <f>AK27*B21</f>
        <v>1.97544902442176</v>
      </c>
      <c r="AM21" s="1"/>
      <c r="AN21" s="1"/>
      <c r="AO21" s="11">
        <f t="shared" si="16"/>
        <v>701.57933365018835</v>
      </c>
      <c r="AP21" s="1"/>
    </row>
    <row r="22" spans="1:43">
      <c r="A22" s="1" t="s">
        <v>4</v>
      </c>
      <c r="B22" s="8">
        <v>466</v>
      </c>
      <c r="C22" s="8">
        <f t="shared" si="9"/>
        <v>466</v>
      </c>
      <c r="D22" s="11">
        <v>1856.1</v>
      </c>
      <c r="E22" s="11">
        <v>1799.2</v>
      </c>
      <c r="F22" s="11"/>
      <c r="G22" s="11">
        <v>100</v>
      </c>
      <c r="H22" s="1">
        <f t="shared" si="10"/>
        <v>100</v>
      </c>
      <c r="I22" s="11">
        <f>D22+E22+H22</f>
        <v>3755.3</v>
      </c>
      <c r="J22" s="1"/>
      <c r="K22" s="11">
        <f>J27*B22</f>
        <v>567.01876863446626</v>
      </c>
      <c r="L22" s="11"/>
      <c r="M22" s="11"/>
      <c r="N22" s="11">
        <f t="shared" si="11"/>
        <v>0</v>
      </c>
      <c r="O22" s="1"/>
      <c r="P22" s="11">
        <f>O27*B22</f>
        <v>6.1358573459103241</v>
      </c>
      <c r="Q22" s="11">
        <v>37.1</v>
      </c>
      <c r="R22" s="11"/>
      <c r="S22" s="11">
        <f t="shared" si="12"/>
        <v>37.1</v>
      </c>
      <c r="T22" s="1"/>
      <c r="U22" s="15">
        <f>T27*B22</f>
        <v>24.757190851531202</v>
      </c>
      <c r="V22" s="8">
        <v>482</v>
      </c>
      <c r="W22" s="11">
        <v>120</v>
      </c>
      <c r="X22" s="11">
        <v>91.8</v>
      </c>
      <c r="Y22" s="11">
        <f t="shared" si="13"/>
        <v>211.8</v>
      </c>
      <c r="Z22" s="1"/>
      <c r="AA22" s="15">
        <f>Z27*V22</f>
        <v>161.25787721893491</v>
      </c>
      <c r="AB22" s="1"/>
      <c r="AC22" s="11"/>
      <c r="AD22" s="11"/>
      <c r="AE22" s="11">
        <f t="shared" si="14"/>
        <v>0</v>
      </c>
      <c r="AF22" s="1"/>
      <c r="AG22" s="15">
        <f>AF27*B22</f>
        <v>24.26644269285438</v>
      </c>
      <c r="AH22" s="1"/>
      <c r="AI22" s="1"/>
      <c r="AJ22" s="1">
        <f t="shared" si="15"/>
        <v>0</v>
      </c>
      <c r="AK22" s="1"/>
      <c r="AL22" s="15">
        <f>AK27*B22</f>
        <v>2.1918077270965242</v>
      </c>
      <c r="AM22" s="1"/>
      <c r="AN22" s="1"/>
      <c r="AO22" s="11">
        <f t="shared" si="16"/>
        <v>785.62794447079352</v>
      </c>
      <c r="AP22" s="1"/>
    </row>
    <row r="23" spans="1:43">
      <c r="A23" s="1" t="s">
        <v>5</v>
      </c>
      <c r="B23" s="8">
        <v>463</v>
      </c>
      <c r="C23" s="8">
        <f t="shared" si="9"/>
        <v>463</v>
      </c>
      <c r="D23" s="11">
        <v>611.4</v>
      </c>
      <c r="E23" s="11">
        <v>1053.7</v>
      </c>
      <c r="F23" s="11"/>
      <c r="G23" s="11">
        <v>79.5</v>
      </c>
      <c r="H23" s="1">
        <f t="shared" si="10"/>
        <v>79.5</v>
      </c>
      <c r="I23" s="11">
        <f t="shared" si="17"/>
        <v>1744.6</v>
      </c>
      <c r="J23" s="1"/>
      <c r="K23" s="11">
        <f>J27*B23</f>
        <v>563.36843321407275</v>
      </c>
      <c r="L23" s="11"/>
      <c r="M23" s="11">
        <v>6.5</v>
      </c>
      <c r="N23" s="11">
        <f t="shared" si="11"/>
        <v>6.5</v>
      </c>
      <c r="O23" s="1"/>
      <c r="P23" s="11">
        <f>O27*B23</f>
        <v>6.0963561183615456</v>
      </c>
      <c r="Q23" s="11"/>
      <c r="R23" s="11"/>
      <c r="S23" s="11">
        <f t="shared" si="12"/>
        <v>0</v>
      </c>
      <c r="T23" s="1"/>
      <c r="U23" s="15">
        <f>T27*B23</f>
        <v>24.597809794547096</v>
      </c>
      <c r="V23" s="8">
        <v>762</v>
      </c>
      <c r="W23" s="11">
        <v>412.6</v>
      </c>
      <c r="X23" s="11">
        <v>338.1</v>
      </c>
      <c r="Y23" s="11">
        <f t="shared" si="13"/>
        <v>750.7</v>
      </c>
      <c r="Z23" s="1"/>
      <c r="AA23" s="15">
        <f>Z27*V23</f>
        <v>254.9346523668639</v>
      </c>
      <c r="AB23" s="1"/>
      <c r="AC23" s="11">
        <v>87.9</v>
      </c>
      <c r="AD23" s="11">
        <v>139.6</v>
      </c>
      <c r="AE23" s="11">
        <f t="shared" si="14"/>
        <v>227.5</v>
      </c>
      <c r="AF23" s="1"/>
      <c r="AG23" s="15">
        <f>AF27*B23</f>
        <v>24.110220958780207</v>
      </c>
      <c r="AH23" s="1"/>
      <c r="AI23" s="1"/>
      <c r="AJ23" s="1">
        <f t="shared" si="15"/>
        <v>0</v>
      </c>
      <c r="AK23" s="1"/>
      <c r="AL23" s="15">
        <f>AK27*B23</f>
        <v>2.1776973769220831</v>
      </c>
      <c r="AM23" s="1"/>
      <c r="AN23" s="1"/>
      <c r="AO23" s="11">
        <f t="shared" si="16"/>
        <v>875.28516982954761</v>
      </c>
      <c r="AP23" s="1"/>
    </row>
    <row r="24" spans="1:43">
      <c r="A24" s="1" t="s">
        <v>6</v>
      </c>
      <c r="B24" s="8">
        <v>1076</v>
      </c>
      <c r="C24" s="8">
        <f t="shared" si="9"/>
        <v>1076</v>
      </c>
      <c r="D24" s="11">
        <v>1437.2</v>
      </c>
      <c r="E24" s="11"/>
      <c r="F24" s="11"/>
      <c r="G24" s="11">
        <v>100</v>
      </c>
      <c r="H24" s="1">
        <f t="shared" si="10"/>
        <v>100</v>
      </c>
      <c r="I24" s="11">
        <f t="shared" si="17"/>
        <v>1537.2</v>
      </c>
      <c r="J24" s="1"/>
      <c r="K24" s="11">
        <f>J27*B24</f>
        <v>1309.2536374478234</v>
      </c>
      <c r="L24" s="11"/>
      <c r="M24" s="11"/>
      <c r="N24" s="11">
        <f t="shared" si="11"/>
        <v>0</v>
      </c>
      <c r="O24" s="1"/>
      <c r="P24" s="11">
        <f>O27*B24</f>
        <v>14.167773614162037</v>
      </c>
      <c r="Q24" s="11">
        <v>21.1</v>
      </c>
      <c r="R24" s="11"/>
      <c r="S24" s="11">
        <f t="shared" si="12"/>
        <v>21.1</v>
      </c>
      <c r="T24" s="1"/>
      <c r="U24" s="15">
        <f>T27*B24</f>
        <v>57.164672438299519</v>
      </c>
      <c r="V24" s="8">
        <v>1147</v>
      </c>
      <c r="W24" s="11">
        <v>577</v>
      </c>
      <c r="X24" s="11"/>
      <c r="Y24" s="11">
        <f t="shared" si="13"/>
        <v>577</v>
      </c>
      <c r="Z24" s="1"/>
      <c r="AA24" s="15">
        <f>Z27*V24</f>
        <v>383.74021819526627</v>
      </c>
      <c r="AB24" s="1"/>
      <c r="AC24" s="11">
        <v>83.5</v>
      </c>
      <c r="AD24" s="11"/>
      <c r="AE24" s="11">
        <f t="shared" si="14"/>
        <v>83.5</v>
      </c>
      <c r="AF24" s="1"/>
      <c r="AG24" s="15">
        <f>AF27*B24</f>
        <v>56.031528621268905</v>
      </c>
      <c r="AH24" s="1"/>
      <c r="AI24" s="1"/>
      <c r="AJ24" s="1">
        <f t="shared" si="15"/>
        <v>0</v>
      </c>
      <c r="AK24" s="1"/>
      <c r="AL24" s="15">
        <f>AK27*B24</f>
        <v>5.0609122625662231</v>
      </c>
      <c r="AM24" s="1"/>
      <c r="AN24" s="1"/>
      <c r="AO24" s="11">
        <f t="shared" si="16"/>
        <v>1825.4187425793864</v>
      </c>
      <c r="AP24" s="1"/>
    </row>
    <row r="25" spans="1:43">
      <c r="A25" s="1" t="s">
        <v>7</v>
      </c>
      <c r="B25" s="8">
        <v>518</v>
      </c>
      <c r="C25" s="8">
        <f t="shared" si="9"/>
        <v>518</v>
      </c>
      <c r="D25" s="11">
        <v>1548.5</v>
      </c>
      <c r="E25" s="11"/>
      <c r="F25" s="11"/>
      <c r="G25" s="11">
        <v>100</v>
      </c>
      <c r="H25" s="1">
        <f t="shared" si="10"/>
        <v>100</v>
      </c>
      <c r="I25" s="11">
        <f>D25+E25+H25</f>
        <v>1648.5</v>
      </c>
      <c r="J25" s="1"/>
      <c r="K25" s="11">
        <f>J27*B25</f>
        <v>630.29124925462133</v>
      </c>
      <c r="L25" s="11"/>
      <c r="M25" s="11"/>
      <c r="N25" s="11">
        <f t="shared" si="11"/>
        <v>0</v>
      </c>
      <c r="O25" s="1"/>
      <c r="P25" s="11">
        <f>O27*B25</f>
        <v>6.820545290089159</v>
      </c>
      <c r="Q25" s="11"/>
      <c r="R25" s="11"/>
      <c r="S25" s="11">
        <f t="shared" si="12"/>
        <v>0</v>
      </c>
      <c r="T25" s="1"/>
      <c r="U25" s="15">
        <f>T27*B25</f>
        <v>27.519795839255714</v>
      </c>
      <c r="V25" s="8">
        <v>528</v>
      </c>
      <c r="W25" s="11">
        <v>5.0999999999999996</v>
      </c>
      <c r="X25" s="11"/>
      <c r="Y25" s="11">
        <f t="shared" si="13"/>
        <v>5.0999999999999996</v>
      </c>
      <c r="Z25" s="1"/>
      <c r="AA25" s="15">
        <f>Z27*V25</f>
        <v>176.64763313609467</v>
      </c>
      <c r="AB25" s="1"/>
      <c r="AC25" s="11">
        <v>46.1</v>
      </c>
      <c r="AD25" s="11"/>
      <c r="AE25" s="11">
        <f t="shared" si="14"/>
        <v>46.1</v>
      </c>
      <c r="AF25" s="1"/>
      <c r="AG25" s="15">
        <f>AF27*B25</f>
        <v>26.97428608347332</v>
      </c>
      <c r="AH25" s="1"/>
      <c r="AI25" s="1"/>
      <c r="AJ25" s="1">
        <f t="shared" si="15"/>
        <v>0</v>
      </c>
      <c r="AK25" s="1"/>
      <c r="AL25" s="15">
        <f>AK27*U25</f>
        <v>0.12943798534034218</v>
      </c>
      <c r="AM25" s="1"/>
      <c r="AN25" s="1"/>
      <c r="AO25" s="11">
        <f t="shared" si="16"/>
        <v>868.38294758887457</v>
      </c>
      <c r="AP25" s="1"/>
    </row>
    <row r="26" spans="1:43">
      <c r="A26" s="1" t="s">
        <v>8</v>
      </c>
      <c r="B26" s="8">
        <v>3267</v>
      </c>
      <c r="C26" s="1"/>
      <c r="D26" s="1"/>
      <c r="E26" s="1"/>
      <c r="F26" s="1"/>
      <c r="G26" s="1"/>
      <c r="H26" s="1">
        <f t="shared" si="10"/>
        <v>0</v>
      </c>
      <c r="I26" s="11">
        <f t="shared" si="17"/>
        <v>0</v>
      </c>
      <c r="J26" s="1"/>
      <c r="K26" s="11"/>
      <c r="L26" s="11">
        <v>181.3</v>
      </c>
      <c r="M26" s="11"/>
      <c r="N26" s="11">
        <f t="shared" si="11"/>
        <v>181.3</v>
      </c>
      <c r="O26" s="1"/>
      <c r="P26" s="11">
        <f>O27*B26</f>
        <v>43.016836800620233</v>
      </c>
      <c r="Q26" s="11">
        <v>704.1</v>
      </c>
      <c r="R26" s="11"/>
      <c r="S26" s="11">
        <f t="shared" si="12"/>
        <v>704.1</v>
      </c>
      <c r="T26" s="1"/>
      <c r="U26" s="15">
        <f>T27*B26</f>
        <v>173.56597105569193</v>
      </c>
      <c r="V26" s="8">
        <v>508</v>
      </c>
      <c r="W26" s="11">
        <v>141.5</v>
      </c>
      <c r="X26" s="11"/>
      <c r="Y26" s="11">
        <f t="shared" si="13"/>
        <v>141.5</v>
      </c>
      <c r="Z26" s="1"/>
      <c r="AA26" s="15">
        <f>Z27*V26</f>
        <v>169.95643491124261</v>
      </c>
      <c r="AB26" s="1"/>
      <c r="AC26" s="11">
        <v>134</v>
      </c>
      <c r="AD26" s="11"/>
      <c r="AE26" s="11">
        <f t="shared" si="14"/>
        <v>134</v>
      </c>
      <c r="AF26" s="1"/>
      <c r="AG26" s="15">
        <f>AF27*B26</f>
        <v>170.12546840677092</v>
      </c>
      <c r="AH26" s="1">
        <v>72.8</v>
      </c>
      <c r="AI26" s="1"/>
      <c r="AJ26" s="1">
        <f t="shared" si="15"/>
        <v>72.8</v>
      </c>
      <c r="AK26" s="1"/>
      <c r="AL26" s="15">
        <f>AK27*B26</f>
        <v>15.366171339966405</v>
      </c>
      <c r="AM26" s="1"/>
      <c r="AN26" s="1"/>
      <c r="AO26" s="11">
        <f t="shared" si="16"/>
        <v>572.0308825142921</v>
      </c>
      <c r="AP26" s="1"/>
    </row>
    <row r="27" spans="1:43" s="9" customFormat="1">
      <c r="A27" s="8" t="s">
        <v>9</v>
      </c>
      <c r="B27" s="8">
        <f>SUM(B19:B26)</f>
        <v>7739</v>
      </c>
      <c r="C27" s="8">
        <f t="shared" ref="C27:I27" si="18">SUM(C19:C26)</f>
        <v>4472</v>
      </c>
      <c r="D27" s="8">
        <f t="shared" si="18"/>
        <v>9056.7000000000007</v>
      </c>
      <c r="E27" s="8">
        <f t="shared" si="18"/>
        <v>6593.8</v>
      </c>
      <c r="F27" s="8">
        <f t="shared" si="18"/>
        <v>0</v>
      </c>
      <c r="G27" s="8">
        <f t="shared" si="18"/>
        <v>673.8</v>
      </c>
      <c r="H27" s="8">
        <f t="shared" si="18"/>
        <v>673.8</v>
      </c>
      <c r="I27" s="13">
        <f t="shared" si="18"/>
        <v>16324.300000000001</v>
      </c>
      <c r="J27" s="8">
        <f>I27/3/C27</f>
        <v>1.2167784734645199</v>
      </c>
      <c r="K27" s="13">
        <f>SUM(K19:K26)</f>
        <v>5441.4333333333325</v>
      </c>
      <c r="L27" s="13">
        <f>SUM(L19:L26)</f>
        <v>197.3</v>
      </c>
      <c r="M27" s="13">
        <f>SUM(M19:M26)</f>
        <v>6.5</v>
      </c>
      <c r="N27" s="13">
        <f>SUM(N19:N26)</f>
        <v>203.8</v>
      </c>
      <c r="O27" s="8">
        <f>N27/2/B27</f>
        <v>1.3167075849592971E-2</v>
      </c>
      <c r="P27" s="13">
        <f>SUM(P19:P26)</f>
        <v>101.9</v>
      </c>
      <c r="Q27" s="13">
        <f>SUM(Q19:Q26)</f>
        <v>822.3</v>
      </c>
      <c r="R27" s="13">
        <f>SUM(R19:R26)</f>
        <v>0</v>
      </c>
      <c r="S27" s="13">
        <f t="shared" si="12"/>
        <v>822.3</v>
      </c>
      <c r="T27" s="8">
        <f>S27/2/B27</f>
        <v>5.3127018994702152E-2</v>
      </c>
      <c r="U27" s="16">
        <f>SUM(U19:U26)</f>
        <v>411.14999999999992</v>
      </c>
      <c r="V27" s="8">
        <f>SUM(V19:V26)</f>
        <v>5408</v>
      </c>
      <c r="W27" s="13">
        <f>SUM(W19:W26)</f>
        <v>2380.6999999999998</v>
      </c>
      <c r="X27" s="13">
        <f>SUM(X19:X26)</f>
        <v>1237.9000000000001</v>
      </c>
      <c r="Y27" s="13">
        <f>SUM(Y19:Y26)</f>
        <v>3618.6</v>
      </c>
      <c r="Z27" s="8">
        <f>Y27/2/V27</f>
        <v>0.33455991124260354</v>
      </c>
      <c r="AA27" s="16">
        <f>SUM(AA19:AA26)</f>
        <v>1809.3</v>
      </c>
      <c r="AB27" s="8"/>
      <c r="AC27" s="13">
        <f>SUM(AC19:AC26)</f>
        <v>571.40000000000009</v>
      </c>
      <c r="AD27" s="13">
        <f>SUM(AD19:AD26)</f>
        <v>234.6</v>
      </c>
      <c r="AE27" s="13">
        <f t="shared" si="14"/>
        <v>806.00000000000011</v>
      </c>
      <c r="AF27" s="8">
        <f>AE27/2/B27</f>
        <v>5.2073911358056606E-2</v>
      </c>
      <c r="AG27" s="16">
        <f>SUM(AG19:AG26)</f>
        <v>403.00000000000006</v>
      </c>
      <c r="AH27" s="8">
        <f>SUM(AH19:AH26)</f>
        <v>72.8</v>
      </c>
      <c r="AI27" s="8">
        <f>SUM(AI19:AI26)</f>
        <v>0</v>
      </c>
      <c r="AJ27" s="8">
        <f t="shared" si="15"/>
        <v>72.8</v>
      </c>
      <c r="AK27" s="8">
        <f>AJ27/2/B27</f>
        <v>4.7034500581470476E-3</v>
      </c>
      <c r="AL27" s="16">
        <f>SUM(AL19:AL26)</f>
        <v>34.09305085522017</v>
      </c>
      <c r="AM27" s="8"/>
      <c r="AN27" s="8"/>
      <c r="AO27" s="13">
        <f>SUM(AO19:AO26)</f>
        <v>8200.8763841885539</v>
      </c>
      <c r="AP27" s="8">
        <f>SUM(AP19:AP26)</f>
        <v>0</v>
      </c>
      <c r="AQ27" s="9">
        <f>SUM(AQ19:AQ26)</f>
        <v>0</v>
      </c>
    </row>
    <row r="28" spans="1:43">
      <c r="A28" s="3" t="s">
        <v>8</v>
      </c>
      <c r="B28" s="12">
        <v>3267</v>
      </c>
      <c r="C28" s="9">
        <f>B28</f>
        <v>3267</v>
      </c>
      <c r="D28" s="11">
        <v>3123.7</v>
      </c>
      <c r="E28" s="11"/>
      <c r="F28" s="3"/>
      <c r="G28" s="3">
        <v>210.4</v>
      </c>
      <c r="H28" s="3">
        <f>G28+F28</f>
        <v>210.4</v>
      </c>
      <c r="I28" s="3">
        <f>H28+E28+D28</f>
        <v>3334.1</v>
      </c>
      <c r="J28">
        <f>I28/3/C28</f>
        <v>0.34017957351290684</v>
      </c>
      <c r="K28" s="14">
        <f>J28*C28</f>
        <v>1111.3666666666666</v>
      </c>
    </row>
    <row r="32" spans="1:43" hidden="1">
      <c r="A32" s="1"/>
      <c r="B32" s="1"/>
      <c r="C32" s="1"/>
      <c r="D32" s="30" t="s">
        <v>11</v>
      </c>
      <c r="E32" s="30"/>
      <c r="F32" s="30"/>
      <c r="G32" s="30"/>
      <c r="H32" s="30"/>
      <c r="I32" s="30"/>
      <c r="J32" s="30"/>
      <c r="K32" s="30"/>
      <c r="L32" s="31" t="s">
        <v>19</v>
      </c>
      <c r="M32" s="32"/>
      <c r="N32" s="32"/>
      <c r="O32" s="32"/>
      <c r="P32" s="33"/>
      <c r="Q32" s="30" t="s">
        <v>20</v>
      </c>
      <c r="R32" s="30"/>
      <c r="S32" s="30"/>
      <c r="T32" s="30"/>
      <c r="U32" s="30"/>
      <c r="V32" s="4"/>
      <c r="W32" s="30" t="s">
        <v>25</v>
      </c>
      <c r="X32" s="30"/>
      <c r="Y32" s="30"/>
      <c r="Z32" s="30"/>
      <c r="AA32" s="30"/>
      <c r="AB32" s="4"/>
      <c r="AC32" s="30" t="s">
        <v>26</v>
      </c>
      <c r="AD32" s="30"/>
      <c r="AE32" s="30"/>
      <c r="AF32" s="30"/>
      <c r="AG32" s="30"/>
      <c r="AH32" s="30" t="s">
        <v>27</v>
      </c>
      <c r="AI32" s="30"/>
      <c r="AJ32" s="30"/>
      <c r="AK32" s="30"/>
      <c r="AL32" s="30"/>
      <c r="AM32" s="1"/>
      <c r="AN32" s="1"/>
      <c r="AO32" s="1"/>
      <c r="AP32" s="1"/>
    </row>
    <row r="33" spans="1:42" hidden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1"/>
      <c r="AN33" s="1"/>
      <c r="AO33" s="2"/>
      <c r="AP33" s="1"/>
    </row>
    <row r="34" spans="1:42" hidden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idden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idden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idden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idden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idden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idden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idden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5"/>
      <c r="M43" s="6"/>
      <c r="N43" s="6"/>
      <c r="O43" s="6"/>
      <c r="P43" s="7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idden="1">
      <c r="A44" s="1"/>
      <c r="B44" s="1"/>
      <c r="C44" s="1"/>
      <c r="D44" s="30"/>
      <c r="E44" s="30"/>
      <c r="F44" s="30"/>
      <c r="G44" s="30"/>
      <c r="H44" s="30"/>
      <c r="I44" s="30"/>
      <c r="J44" s="30"/>
      <c r="K44" s="30"/>
      <c r="L44" s="31"/>
      <c r="M44" s="32"/>
      <c r="N44" s="32"/>
      <c r="O44" s="32"/>
      <c r="P44" s="33"/>
      <c r="Q44" s="30"/>
      <c r="R44" s="30"/>
      <c r="S44" s="30"/>
      <c r="T44" s="30"/>
      <c r="U44" s="30"/>
      <c r="V44" s="4"/>
      <c r="W44" s="30"/>
      <c r="X44" s="30"/>
      <c r="Y44" s="30"/>
      <c r="Z44" s="30"/>
      <c r="AA44" s="30"/>
      <c r="AB44" s="4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1"/>
      <c r="AN44" s="1"/>
      <c r="AO44" s="1"/>
      <c r="AP44" s="1"/>
    </row>
    <row r="45" spans="1:42" hidden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1"/>
      <c r="AN45" s="1"/>
      <c r="AO45" s="2"/>
      <c r="AP45" s="1"/>
    </row>
    <row r="46" spans="1:42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idden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idden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idden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idden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idden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idden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hidden="1">
      <c r="A55" s="1"/>
      <c r="B55" s="1"/>
      <c r="C55" s="1"/>
      <c r="D55" s="30"/>
      <c r="E55" s="30"/>
      <c r="F55" s="30"/>
      <c r="G55" s="30"/>
      <c r="H55" s="30"/>
      <c r="I55" s="30"/>
      <c r="J55" s="30"/>
      <c r="K55" s="30"/>
      <c r="L55" s="31"/>
      <c r="M55" s="32"/>
      <c r="N55" s="32"/>
      <c r="O55" s="32"/>
      <c r="P55" s="33"/>
      <c r="Q55" s="30"/>
      <c r="R55" s="30"/>
      <c r="S55" s="30"/>
      <c r="T55" s="30"/>
      <c r="U55" s="30"/>
      <c r="V55" s="4"/>
      <c r="W55" s="30"/>
      <c r="X55" s="30"/>
      <c r="Y55" s="30"/>
      <c r="Z55" s="30"/>
      <c r="AA55" s="30"/>
      <c r="AB55" s="4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1"/>
      <c r="AN55" s="1"/>
      <c r="AO55" s="1"/>
      <c r="AP55" s="1"/>
    </row>
    <row r="56" spans="1:42" hidden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1"/>
      <c r="AN56" s="1"/>
      <c r="AO56" s="2"/>
      <c r="AP56" s="1"/>
    </row>
    <row r="57" spans="1:42" hidden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hidden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hidden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hidden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hidden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hidden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hidden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hidden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hidden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hidden="1">
      <c r="A66" s="1"/>
      <c r="B66" s="1"/>
      <c r="C66" s="1"/>
      <c r="D66" s="30"/>
      <c r="E66" s="30"/>
      <c r="F66" s="30"/>
      <c r="G66" s="30"/>
      <c r="H66" s="30"/>
      <c r="I66" s="30"/>
      <c r="J66" s="30"/>
      <c r="K66" s="30"/>
      <c r="L66" s="31"/>
      <c r="M66" s="32"/>
      <c r="N66" s="32"/>
      <c r="O66" s="32"/>
      <c r="P66" s="33"/>
      <c r="Q66" s="30"/>
      <c r="R66" s="30"/>
      <c r="S66" s="30"/>
      <c r="T66" s="30"/>
      <c r="U66" s="30"/>
      <c r="V66" s="4"/>
      <c r="W66" s="30"/>
      <c r="X66" s="30"/>
      <c r="Y66" s="30"/>
      <c r="Z66" s="30"/>
      <c r="AA66" s="30"/>
      <c r="AB66" s="4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1"/>
      <c r="AN66" s="1"/>
      <c r="AO66" s="1"/>
      <c r="AP66" s="1"/>
    </row>
    <row r="67" spans="1:42" hidden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1"/>
      <c r="AN67" s="1"/>
      <c r="AO67" s="2"/>
      <c r="AP67" s="1"/>
    </row>
    <row r="68" spans="1:42" hidden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hidden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hidden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hidden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hidden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hidden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hidden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hidden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hidden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hidden="1">
      <c r="A77" s="1"/>
      <c r="B77" s="1"/>
      <c r="C77" s="1"/>
      <c r="D77" s="30"/>
      <c r="E77" s="30"/>
      <c r="F77" s="30"/>
      <c r="G77" s="30"/>
      <c r="H77" s="30"/>
      <c r="I77" s="30"/>
      <c r="J77" s="30"/>
      <c r="K77" s="30"/>
      <c r="L77" s="31"/>
      <c r="M77" s="32"/>
      <c r="N77" s="32"/>
      <c r="O77" s="32"/>
      <c r="P77" s="33"/>
      <c r="Q77" s="30"/>
      <c r="R77" s="30"/>
      <c r="S77" s="30"/>
      <c r="T77" s="30"/>
      <c r="U77" s="30"/>
      <c r="V77" s="4"/>
      <c r="W77" s="30"/>
      <c r="X77" s="30"/>
      <c r="Y77" s="30"/>
      <c r="Z77" s="30"/>
      <c r="AA77" s="30"/>
      <c r="AB77" s="4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1"/>
      <c r="AN77" s="1"/>
      <c r="AO77" s="1"/>
      <c r="AP77" s="1"/>
    </row>
    <row r="78" spans="1:42" hidden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1"/>
      <c r="AN78" s="1"/>
      <c r="AO78" s="2"/>
      <c r="AP78" s="1"/>
    </row>
    <row r="79" spans="1:42" hidden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hidden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hidden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hidden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idden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idden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idden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idden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hidden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hidden="1">
      <c r="A88" s="1"/>
      <c r="B88" s="1"/>
      <c r="C88" s="1"/>
      <c r="D88" s="30"/>
      <c r="E88" s="30"/>
      <c r="F88" s="30"/>
      <c r="G88" s="30"/>
      <c r="H88" s="30"/>
      <c r="I88" s="30"/>
      <c r="J88" s="30"/>
      <c r="K88" s="30"/>
      <c r="L88" s="31"/>
      <c r="M88" s="32"/>
      <c r="N88" s="32"/>
      <c r="O88" s="32"/>
      <c r="P88" s="33"/>
      <c r="Q88" s="30"/>
      <c r="R88" s="30"/>
      <c r="S88" s="30"/>
      <c r="T88" s="30"/>
      <c r="U88" s="30"/>
      <c r="V88" s="4"/>
      <c r="W88" s="30"/>
      <c r="X88" s="30"/>
      <c r="Y88" s="30"/>
      <c r="Z88" s="30"/>
      <c r="AA88" s="30"/>
      <c r="AB88" s="4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1"/>
      <c r="AN88" s="1"/>
      <c r="AO88" s="1"/>
      <c r="AP88" s="1"/>
    </row>
    <row r="89" spans="1:42" hidden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1"/>
      <c r="AN89" s="1"/>
      <c r="AO89" s="2"/>
      <c r="AP89" s="1"/>
    </row>
    <row r="90" spans="1:42" hidden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hidden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hidden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hidden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hidden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hidden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hidden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hidden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hidden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spans="1:42" hidden="1">
      <c r="A99" s="1"/>
      <c r="B99" s="1"/>
      <c r="C99" s="1"/>
      <c r="D99" s="30"/>
      <c r="E99" s="30"/>
      <c r="F99" s="30"/>
      <c r="G99" s="30"/>
      <c r="H99" s="30"/>
      <c r="I99" s="30"/>
      <c r="J99" s="30"/>
      <c r="K99" s="30"/>
      <c r="L99" s="31"/>
      <c r="M99" s="32"/>
      <c r="N99" s="32"/>
      <c r="O99" s="32"/>
      <c r="P99" s="33"/>
      <c r="Q99" s="30"/>
      <c r="R99" s="30"/>
      <c r="S99" s="30"/>
      <c r="T99" s="30"/>
      <c r="U99" s="30"/>
      <c r="V99" s="4"/>
      <c r="W99" s="30"/>
      <c r="X99" s="30"/>
      <c r="Y99" s="30"/>
      <c r="Z99" s="30"/>
      <c r="AA99" s="30"/>
      <c r="AB99" s="4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1"/>
      <c r="AN99" s="1"/>
      <c r="AO99" s="1"/>
      <c r="AP99" s="1"/>
    </row>
    <row r="100" spans="1:42" hidden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1"/>
      <c r="AN100" s="1"/>
      <c r="AO100" s="2"/>
      <c r="AP100" s="1"/>
    </row>
    <row r="101" spans="1:42" hidden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spans="1:42" hidden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spans="1:42" hidden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1:42" hidden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spans="1:42" hidden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spans="1:42" hidden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hidden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1:42" hidden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hidden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hidden="1">
      <c r="A110" s="1"/>
      <c r="B110" s="1"/>
      <c r="C110" s="1"/>
      <c r="D110" s="30"/>
      <c r="E110" s="30"/>
      <c r="F110" s="30"/>
      <c r="G110" s="30"/>
      <c r="H110" s="30"/>
      <c r="I110" s="30"/>
      <c r="J110" s="30"/>
      <c r="K110" s="30"/>
      <c r="L110" s="31"/>
      <c r="M110" s="32"/>
      <c r="N110" s="32"/>
      <c r="O110" s="32"/>
      <c r="P110" s="33"/>
      <c r="Q110" s="30"/>
      <c r="R110" s="30"/>
      <c r="S110" s="30"/>
      <c r="T110" s="30"/>
      <c r="U110" s="30"/>
      <c r="V110" s="4"/>
      <c r="W110" s="30"/>
      <c r="X110" s="30"/>
      <c r="Y110" s="30"/>
      <c r="Z110" s="30"/>
      <c r="AA110" s="30"/>
      <c r="AB110" s="4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1"/>
      <c r="AN110" s="1"/>
      <c r="AO110" s="1"/>
      <c r="AP110" s="1"/>
    </row>
    <row r="111" spans="1:42" hidden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1"/>
      <c r="AN111" s="1"/>
      <c r="AO111" s="2"/>
      <c r="AP111" s="1"/>
    </row>
    <row r="112" spans="1:42" hidden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1:42" hidden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1:42" hidden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1:42" hidden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1:42" hidden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1:42" hidden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1:42" hidden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spans="1:42" hidden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spans="1:42" hidden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spans="1:42" hidden="1">
      <c r="A121" s="1"/>
      <c r="B121" s="1"/>
      <c r="C121" s="1"/>
      <c r="D121" s="30"/>
      <c r="E121" s="30"/>
      <c r="F121" s="30"/>
      <c r="G121" s="30"/>
      <c r="H121" s="30"/>
      <c r="I121" s="30"/>
      <c r="J121" s="30"/>
      <c r="K121" s="30"/>
      <c r="L121" s="31"/>
      <c r="M121" s="32"/>
      <c r="N121" s="32"/>
      <c r="O121" s="32"/>
      <c r="P121" s="33"/>
      <c r="Q121" s="30"/>
      <c r="R121" s="30"/>
      <c r="S121" s="30"/>
      <c r="T121" s="30"/>
      <c r="U121" s="30"/>
      <c r="V121" s="4"/>
      <c r="W121" s="30"/>
      <c r="X121" s="30"/>
      <c r="Y121" s="30"/>
      <c r="Z121" s="30"/>
      <c r="AA121" s="30"/>
      <c r="AB121" s="4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1"/>
      <c r="AN121" s="1"/>
      <c r="AO121" s="1"/>
      <c r="AP121" s="1"/>
    </row>
    <row r="122" spans="1:42" hidden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1"/>
      <c r="AN122" s="1"/>
      <c r="AO122" s="2"/>
      <c r="AP122" s="1"/>
    </row>
    <row r="123" spans="1:42" hidden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spans="1:42" hidden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spans="1:42" hidden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spans="1:42" hidden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spans="1:42" hidden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spans="1:42" hidden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spans="1:42" hidden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spans="1:42" hidden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spans="1:42" hidden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spans="1:42" hidden="1">
      <c r="A132" s="1"/>
      <c r="B132" s="1"/>
      <c r="C132" s="1"/>
      <c r="D132" s="30"/>
      <c r="E132" s="30"/>
      <c r="F132" s="30"/>
      <c r="G132" s="30"/>
      <c r="H132" s="30"/>
      <c r="I132" s="30"/>
      <c r="J132" s="30"/>
      <c r="K132" s="30"/>
      <c r="L132" s="31"/>
      <c r="M132" s="32"/>
      <c r="N132" s="32"/>
      <c r="O132" s="32"/>
      <c r="P132" s="33"/>
      <c r="Q132" s="30"/>
      <c r="R132" s="30"/>
      <c r="S132" s="30"/>
      <c r="T132" s="30"/>
      <c r="U132" s="30"/>
      <c r="V132" s="4"/>
      <c r="W132" s="30"/>
      <c r="X132" s="30"/>
      <c r="Y132" s="30"/>
      <c r="Z132" s="30"/>
      <c r="AA132" s="30"/>
      <c r="AB132" s="4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1"/>
      <c r="AN132" s="1"/>
      <c r="AO132" s="1"/>
      <c r="AP132" s="1"/>
    </row>
    <row r="133" spans="1:42" hidden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1"/>
      <c r="AN133" s="1"/>
      <c r="AO133" s="2"/>
      <c r="AP133" s="1"/>
    </row>
    <row r="134" spans="1:42" hidden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spans="1:42" hidden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spans="1:42" hidden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spans="1:42" hidden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spans="1:42" hidden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1:42" hidden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1:42" hidden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1:42" hidden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1:42" hidden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</sheetData>
  <mergeCells count="72">
    <mergeCell ref="D4:K4"/>
    <mergeCell ref="L4:P4"/>
    <mergeCell ref="Q4:U4"/>
    <mergeCell ref="W4:AA4"/>
    <mergeCell ref="AC4:AG4"/>
    <mergeCell ref="AH4:AL4"/>
    <mergeCell ref="D17:K17"/>
    <mergeCell ref="L17:P17"/>
    <mergeCell ref="Q17:U17"/>
    <mergeCell ref="W17:AA17"/>
    <mergeCell ref="AC17:AG17"/>
    <mergeCell ref="AH17:AL17"/>
    <mergeCell ref="D32:K32"/>
    <mergeCell ref="L32:P32"/>
    <mergeCell ref="Q32:U32"/>
    <mergeCell ref="W32:AA32"/>
    <mergeCell ref="AC32:AG32"/>
    <mergeCell ref="AH32:AL32"/>
    <mergeCell ref="D44:K44"/>
    <mergeCell ref="L44:P44"/>
    <mergeCell ref="Q44:U44"/>
    <mergeCell ref="W44:AA44"/>
    <mergeCell ref="AC44:AG44"/>
    <mergeCell ref="AH44:AL44"/>
    <mergeCell ref="D55:K55"/>
    <mergeCell ref="L55:P55"/>
    <mergeCell ref="Q55:U55"/>
    <mergeCell ref="W55:AA55"/>
    <mergeCell ref="AC55:AG55"/>
    <mergeCell ref="AH55:AL55"/>
    <mergeCell ref="D66:K66"/>
    <mergeCell ref="L66:P66"/>
    <mergeCell ref="Q66:U66"/>
    <mergeCell ref="W66:AA66"/>
    <mergeCell ref="AC66:AG66"/>
    <mergeCell ref="AH66:AL66"/>
    <mergeCell ref="D77:K77"/>
    <mergeCell ref="L77:P77"/>
    <mergeCell ref="Q77:U77"/>
    <mergeCell ref="W77:AA77"/>
    <mergeCell ref="AC77:AG77"/>
    <mergeCell ref="AH77:AL77"/>
    <mergeCell ref="D88:K88"/>
    <mergeCell ref="L88:P88"/>
    <mergeCell ref="Q88:U88"/>
    <mergeCell ref="W88:AA88"/>
    <mergeCell ref="AC88:AG88"/>
    <mergeCell ref="AH88:AL88"/>
    <mergeCell ref="D99:K99"/>
    <mergeCell ref="L99:P99"/>
    <mergeCell ref="Q99:U99"/>
    <mergeCell ref="W99:AA99"/>
    <mergeCell ref="AC99:AG99"/>
    <mergeCell ref="AH99:AL99"/>
    <mergeCell ref="D110:K110"/>
    <mergeCell ref="L110:P110"/>
    <mergeCell ref="Q110:U110"/>
    <mergeCell ref="W110:AA110"/>
    <mergeCell ref="AC110:AG110"/>
    <mergeCell ref="AH110:AL110"/>
    <mergeCell ref="D121:K121"/>
    <mergeCell ref="L121:P121"/>
    <mergeCell ref="Q121:U121"/>
    <mergeCell ref="W121:AA121"/>
    <mergeCell ref="AC121:AG121"/>
    <mergeCell ref="AH121:AL121"/>
    <mergeCell ref="D132:K132"/>
    <mergeCell ref="L132:P132"/>
    <mergeCell ref="Q132:U132"/>
    <mergeCell ref="W132:AA132"/>
    <mergeCell ref="AC132:AG132"/>
    <mergeCell ref="AH132:AL132"/>
  </mergeCells>
  <pageMargins left="0.19685039370078741" right="0" top="0.78740157480314965" bottom="0.78740157480314965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2026 год 2 чт </vt:lpstr>
      <vt:lpstr>2024 год 2 чт  (2)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ИКТ</cp:lastModifiedBy>
  <cp:lastPrinted>2023-12-05T07:06:04Z</cp:lastPrinted>
  <dcterms:created xsi:type="dcterms:W3CDTF">2010-10-06T04:46:59Z</dcterms:created>
  <dcterms:modified xsi:type="dcterms:W3CDTF">2025-12-19T08:50:11Z</dcterms:modified>
</cp:coreProperties>
</file>